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11040" firstSheet="2" activeTab="3"/>
  </bookViews>
  <sheets>
    <sheet name="UFR 30.06.2010" sheetId="1" state="hidden" r:id="rId1"/>
    <sheet name="UFR 30.06.2010 final" sheetId="2" state="hidden" r:id="rId2"/>
    <sheet name="statement of assets &amp; lia" sheetId="3" r:id="rId3"/>
    <sheet name="2010-11 Q2"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0">#N/A</definedName>
    <definedName name="\b">#N/A</definedName>
    <definedName name="\c">#N/A</definedName>
    <definedName name="\f">#N/A</definedName>
    <definedName name="\h">#N/A</definedName>
    <definedName name="\s">#N/A</definedName>
    <definedName name="a">'[1]Sctt'!$B$9:$S$9</definedName>
    <definedName name="COPY">#N/A</definedName>
    <definedName name="CUMCOMP" localSheetId="3">'[1]Database'!#REF!</definedName>
    <definedName name="CUMCOMP" localSheetId="0">'[1]Database'!#REF!</definedName>
    <definedName name="CUMCOMP" localSheetId="1">'[1]Database'!#REF!</definedName>
    <definedName name="CUMCOMP">'[1]Database'!#REF!</definedName>
    <definedName name="CUMCOPM" localSheetId="3">'[1]Database'!#REF!</definedName>
    <definedName name="CUMCOPM" localSheetId="0">'[1]Database'!#REF!</definedName>
    <definedName name="CUMCOPM" localSheetId="1">'[1]Database'!#REF!</definedName>
    <definedName name="CUMCOPM">'[1]Database'!#REF!</definedName>
    <definedName name="JULL">#N/A</definedName>
    <definedName name="JULT">#N/A</definedName>
    <definedName name="L">#N/A</definedName>
    <definedName name="LA">#N/A</definedName>
    <definedName name="LM">#N/A</definedName>
    <definedName name="LS">#N/A</definedName>
    <definedName name="MTHCOMP" localSheetId="3">'[1]Database'!#REF!</definedName>
    <definedName name="MTHCOMP" localSheetId="0">'[1]Database'!#REF!</definedName>
    <definedName name="MTHCOMP" localSheetId="1">'[1]Database'!#REF!</definedName>
    <definedName name="MTHCOMP">'[1]Database'!#REF!</definedName>
    <definedName name="MW">'[1]Database'!$F$1:$AB$54</definedName>
    <definedName name="pdc" localSheetId="3">#REF!</definedName>
    <definedName name="pdc" localSheetId="0">#REF!</definedName>
    <definedName name="pdc" localSheetId="1">#REF!</definedName>
    <definedName name="pdc">#REF!</definedName>
    <definedName name="print" localSheetId="3">#REF!</definedName>
    <definedName name="print" localSheetId="0">#REF!</definedName>
    <definedName name="print" localSheetId="1">#REF!</definedName>
    <definedName name="print">#REF!</definedName>
    <definedName name="_xlnm.Print_Area" localSheetId="3">'2010-11 Q2'!$A$1:$J$133</definedName>
    <definedName name="_xlnm.Print_Area" localSheetId="2">'statement of assets &amp; lia'!$A$1:$H$42</definedName>
    <definedName name="_xlnm.Print_Area" localSheetId="0">'UFR 30.06.2010'!$A$1:$K$115</definedName>
    <definedName name="_xlnm.Print_Area" localSheetId="1">'UFR 30.06.2010 final'!$A$1:$K$115</definedName>
    <definedName name="Print_Area_MI" localSheetId="3">'[3]MATMC'!#REF!</definedName>
    <definedName name="Print_Area_MI" localSheetId="0">'[3]MATMC'!#REF!</definedName>
    <definedName name="Print_Area_MI" localSheetId="1">'[3]MATMC'!#REF!</definedName>
    <definedName name="Print_Area_MI">'[3]MATMC'!#REF!</definedName>
    <definedName name="PRINT_TITLES_MI" localSheetId="3">#REF!</definedName>
    <definedName name="PRINT_TITLES_MI" localSheetId="0">#REF!</definedName>
    <definedName name="PRINT_TITLES_MI" localSheetId="1">#REF!</definedName>
    <definedName name="PRINT_TITLES_MI">#REF!</definedName>
    <definedName name="Rubber" localSheetId="3">#REF!</definedName>
    <definedName name="Rubber" localSheetId="0">#REF!</definedName>
    <definedName name="Rubber" localSheetId="1">#REF!</definedName>
    <definedName name="Rubber">#REF!</definedName>
    <definedName name="samp3" localSheetId="3">#REF!</definedName>
    <definedName name="samp3" localSheetId="0">#REF!</definedName>
    <definedName name="samp3" localSheetId="1">#REF!</definedName>
    <definedName name="samp3">#REF!</definedName>
    <definedName name="T">#N/A</definedName>
    <definedName name="TA">#N/A</definedName>
    <definedName name="TM">#N/A</definedName>
    <definedName name="TS">#N/A</definedName>
    <definedName name="TTL">#N/A</definedName>
    <definedName name="VARIDETL" localSheetId="3">#REF!</definedName>
    <definedName name="VARIDETL" localSheetId="0">#REF!</definedName>
    <definedName name="VARIDETL" localSheetId="1">#REF!</definedName>
    <definedName name="VARIDETL">#REF!</definedName>
  </definedNames>
  <calcPr fullCalcOnLoad="1"/>
</workbook>
</file>

<file path=xl/sharedStrings.xml><?xml version="1.0" encoding="utf-8"?>
<sst xmlns="http://schemas.openxmlformats.org/spreadsheetml/2006/main" count="582" uniqueCount="216">
  <si>
    <t>TVS MOTOR COMPANY LIMITED</t>
  </si>
  <si>
    <t>Regd office: "Jayalakshmi Estates",  29, Haddows Road, Chennai 600 006</t>
  </si>
  <si>
    <t>Particulars</t>
  </si>
  <si>
    <t>31.3.2009</t>
  </si>
  <si>
    <t>(Audited)</t>
  </si>
  <si>
    <t>(1)</t>
  </si>
  <si>
    <t>(2)</t>
  </si>
  <si>
    <t>(3)</t>
  </si>
  <si>
    <t>(4)</t>
  </si>
  <si>
    <t>1(a)</t>
  </si>
  <si>
    <t>Net sales / Income from operations</t>
  </si>
  <si>
    <t xml:space="preserve">  (b)</t>
  </si>
  <si>
    <t>Other Operating Income</t>
  </si>
  <si>
    <t xml:space="preserve">Total Income </t>
  </si>
  <si>
    <t>2.</t>
  </si>
  <si>
    <t>Expenditure</t>
  </si>
  <si>
    <t xml:space="preserve">a. (Increase) / decrease in  stock in trade and </t>
  </si>
  <si>
    <t xml:space="preserve">    work in progress</t>
  </si>
  <si>
    <t>c. Purchase of traded goods</t>
  </si>
  <si>
    <t>d. Employees cost</t>
  </si>
  <si>
    <t>e. Depreciation</t>
  </si>
  <si>
    <t>3.</t>
  </si>
  <si>
    <t xml:space="preserve">Profit from Operations before other income, </t>
  </si>
  <si>
    <t>Interest &amp; Exceptional items (1-2)</t>
  </si>
  <si>
    <t>4.</t>
  </si>
  <si>
    <t>a. Other income</t>
  </si>
  <si>
    <t>b. Foreign currency monetary item translation difference</t>
  </si>
  <si>
    <t>5.</t>
  </si>
  <si>
    <t>Profit before Interest &amp; Exceptional items (3+4)</t>
  </si>
  <si>
    <t>6.</t>
  </si>
  <si>
    <t>Interest (net of income)</t>
  </si>
  <si>
    <t>7.</t>
  </si>
  <si>
    <t xml:space="preserve">Profit after Interest but before Exceptional </t>
  </si>
  <si>
    <t>Items (5-6)</t>
  </si>
  <si>
    <t>8.</t>
  </si>
  <si>
    <t>Exceptional Items net (expense)</t>
  </si>
  <si>
    <t>9.</t>
  </si>
  <si>
    <t>Profit (+) / Loss (-) from Ordinary Activities</t>
  </si>
  <si>
    <t>before tax (7+8)</t>
  </si>
  <si>
    <t>10.</t>
  </si>
  <si>
    <t>Tax expense</t>
  </si>
  <si>
    <t xml:space="preserve">Net Profit (+) /Loss (-) from Ordinary Activities </t>
  </si>
  <si>
    <t>after tax (9-10)</t>
  </si>
  <si>
    <t>12.</t>
  </si>
  <si>
    <t>Extraordinary Item (net of tax expense)</t>
  </si>
  <si>
    <t>13.</t>
  </si>
  <si>
    <t>Net Profit (+)/(Loss(-) for the period (11-12)</t>
  </si>
  <si>
    <t>14.</t>
  </si>
  <si>
    <t>Paid up equity share capital</t>
  </si>
  <si>
    <t>(Face value of Re.1/- each)</t>
  </si>
  <si>
    <t>15.</t>
  </si>
  <si>
    <t xml:space="preserve">Reserve excluding Revaluation Reserves as per </t>
  </si>
  <si>
    <t>balance sheet of previous accounting year</t>
  </si>
  <si>
    <t>16.</t>
  </si>
  <si>
    <t>Earnings Per Share (EPS)</t>
  </si>
  <si>
    <t>(a)</t>
  </si>
  <si>
    <t>Basic and diluted EPS before Extraordinary items</t>
  </si>
  <si>
    <t xml:space="preserve">for the period, for the year to date and for the </t>
  </si>
  <si>
    <t>previous year (not to be annualised)</t>
  </si>
  <si>
    <t>(b)</t>
  </si>
  <si>
    <t>Basic and diluted EPS after Extraordinary items</t>
  </si>
  <si>
    <t>17.</t>
  </si>
  <si>
    <t>Public Shareholding</t>
  </si>
  <si>
    <t xml:space="preserve">- Number of shares </t>
  </si>
  <si>
    <t>- Percentage of shareholding</t>
  </si>
  <si>
    <t>18.</t>
  </si>
  <si>
    <t>Promoters and Promoter Group Shareholding</t>
  </si>
  <si>
    <t>Pledged / Encumbered</t>
  </si>
  <si>
    <t>Nil</t>
  </si>
  <si>
    <t xml:space="preserve">- Percentage of shares (as a % of the total </t>
  </si>
  <si>
    <t xml:space="preserve">  shareholding of promoter and promoter group)</t>
  </si>
  <si>
    <t>- Percentage of shares (as a % of the total</t>
  </si>
  <si>
    <t xml:space="preserve">  share capital of the company).</t>
  </si>
  <si>
    <t>Non - encumbered</t>
  </si>
  <si>
    <t>Notes:</t>
  </si>
  <si>
    <t>31.3.2010</t>
  </si>
  <si>
    <t>Rs in lakhs</t>
  </si>
  <si>
    <t>(Unaudited)</t>
  </si>
  <si>
    <t>3 months ended</t>
  </si>
  <si>
    <t>Year to date figures for the previous year ended</t>
  </si>
  <si>
    <t xml:space="preserve">b. Consumption of raw materials </t>
  </si>
  <si>
    <t>f. Amortisation</t>
  </si>
  <si>
    <t>g. Other expenditure</t>
  </si>
  <si>
    <t>Chairman and Managing Director</t>
  </si>
  <si>
    <t>to External Commercial Borrowings (ECB) to be added to or deducted from cost of capital assets acquired through such loans.</t>
  </si>
  <si>
    <t>This has been effected in the computation of above results. Exchange difference in regard to ECB other than relating to acquisition</t>
  </si>
  <si>
    <t>31.12.2009</t>
  </si>
  <si>
    <t>31.12.2008</t>
  </si>
  <si>
    <t xml:space="preserve">of capital assets are added to or deducted from Foreign Currency Monetary Item Translation Difference Account. </t>
  </si>
  <si>
    <t xml:space="preserve">The above unaudited financial results were reviewed and recommended by the audit committee and approved by the board of directors </t>
  </si>
  <si>
    <t>Corresponding 3 months ended in previous year</t>
  </si>
  <si>
    <t>Year to date figures for current year ended</t>
  </si>
  <si>
    <t xml:space="preserve">h. Total </t>
  </si>
  <si>
    <t>30.06.2010</t>
  </si>
  <si>
    <t>30.06.2009</t>
  </si>
  <si>
    <t>STANDALONE UNAUDITED FINANCIAL RESULTS FOR THE QUARTER  ENDED 30TH JUNE 2010</t>
  </si>
  <si>
    <t>The operations of the company relate to only one segment viz., automotive vehicles and parts.</t>
  </si>
  <si>
    <t>Amortisation expenses represents:</t>
  </si>
  <si>
    <t>Rs in Lakhs</t>
  </si>
  <si>
    <t>Amortisation of moulds and dies</t>
  </si>
  <si>
    <t>Amortisation of new product launch expenses</t>
  </si>
  <si>
    <t>Total</t>
  </si>
  <si>
    <t xml:space="preserve">The amendment to AS 11, introduced by Government of India permits the difference in foreign exchange rates relating </t>
  </si>
  <si>
    <t>Exceptional item represents:</t>
  </si>
  <si>
    <t>Profit on sale of land</t>
  </si>
  <si>
    <t>-</t>
  </si>
  <si>
    <t>Loss on sale of investment in TVS Finance and Services Limited</t>
  </si>
  <si>
    <t>Accelerated amortisation of tools &amp; dies of slow moving models</t>
  </si>
  <si>
    <t>Figures for the previous periods have been regrouped, wherever necessary, to conform to the current period's classification.</t>
  </si>
  <si>
    <t>at their meeting held on 21st July 2010 and a limited review of the same has been carried out by the statutory auditors of the company</t>
  </si>
  <si>
    <t>Date   :  21.07.2010</t>
  </si>
  <si>
    <t>subsidiary of the company,effective 21st June 2010 and proposed investment for year 2010-11 is Rs 4000 lakhs</t>
  </si>
  <si>
    <t xml:space="preserve">During the quarter ended 30.06.2010, the company invested Rs 5 lakhs in TVS Housing Private Limited which has become a wholly owned </t>
  </si>
  <si>
    <t xml:space="preserve">Status of investor complaints:  No. of complaints received and disposed during the quarter-8 . No. of complaints lying </t>
  </si>
  <si>
    <r>
      <t xml:space="preserve">unresolved at the commencement and at the end of the quarter </t>
    </r>
    <r>
      <rPr>
        <sz val="11"/>
        <color indexed="51"/>
        <rFont val="Tahoma"/>
        <family val="2"/>
      </rPr>
      <t>-</t>
    </r>
    <r>
      <rPr>
        <sz val="11"/>
        <rFont val="Tahoma"/>
        <family val="2"/>
      </rPr>
      <t>Nil</t>
    </r>
  </si>
  <si>
    <t>investment for the year 2010-11 is Rs 10000 lakhs</t>
  </si>
  <si>
    <t>STANDALONE</t>
  </si>
  <si>
    <t>CONSOLIDATED</t>
  </si>
  <si>
    <t>&amp;</t>
  </si>
  <si>
    <t>AUDITED FINANCIAL RESULTS FOR THE YEAR ENDED 31ST MARCH 2010</t>
  </si>
  <si>
    <t>(5)</t>
  </si>
  <si>
    <t>(6)</t>
  </si>
  <si>
    <t>Share of profit/(loss) of associate</t>
  </si>
  <si>
    <t>year ended</t>
  </si>
  <si>
    <t>Place   :  Bengaluru</t>
  </si>
  <si>
    <t xml:space="preserve">11(a) </t>
  </si>
  <si>
    <t>During the quarter ended 30.06.2010 , the company invested Rs 9200 lakhs (Rs. 6000 lakhs share application money paid during the year 2008-09 ) in Preference shares of TVS Motor services Limited and proposed</t>
  </si>
  <si>
    <t>During the quarter ended 30.06.2010, the company invested Rs.9200 lakhs (Rs.6000 lakhs share application money paid during the year 2008-09 refunded) in Preference</t>
  </si>
  <si>
    <t>shares of TVS Motor services Limited and proposed further investment for the year 2010-11 is Rs.10000 lakhs.</t>
  </si>
  <si>
    <t>subsidiary of the company, effective 21st June 2010.</t>
  </si>
  <si>
    <t xml:space="preserve"> UNAUDITED FINANCIAL RESULTS (STANDALONE) FOR THE QUARTER  ENDED 30TH SEPTEMBER 2010</t>
  </si>
  <si>
    <t>30.09.2010</t>
  </si>
  <si>
    <t>30.09.2009</t>
  </si>
  <si>
    <t xml:space="preserve">Year to date figure for the period ended  </t>
  </si>
  <si>
    <t>Rs. in Crores</t>
  </si>
  <si>
    <t>Previous accounting year ended</t>
  </si>
  <si>
    <t>Rs. In Crores</t>
  </si>
  <si>
    <t>Miscellaneous expenditure (Not written off or adjusted)</t>
  </si>
  <si>
    <t>(b) Provisions</t>
  </si>
  <si>
    <t>(a) Liabilities</t>
  </si>
  <si>
    <t>Less: Current liabilities and provisions</t>
  </si>
  <si>
    <t>(e) Loans and advances</t>
  </si>
  <si>
    <t>(d) Other current assets</t>
  </si>
  <si>
    <t>(c ) Cash and Bank balances</t>
  </si>
  <si>
    <t>(b) Sundry Debtors</t>
  </si>
  <si>
    <t>(a) Inventories</t>
  </si>
  <si>
    <t>Current Assets , Loans and advances</t>
  </si>
  <si>
    <t>Investments</t>
  </si>
  <si>
    <t>Fixed Assets</t>
  </si>
  <si>
    <t>Foreign currency Monetary translation reserve</t>
  </si>
  <si>
    <t>Deferred tax liability</t>
  </si>
  <si>
    <t>Loan funds</t>
  </si>
  <si>
    <t>(b) Reserves &amp; surplus</t>
  </si>
  <si>
    <t>(a) Capital</t>
  </si>
  <si>
    <t>Shareholders fund</t>
  </si>
  <si>
    <t>Audited</t>
  </si>
  <si>
    <t>Unaudited</t>
  </si>
  <si>
    <t>Year ended 31.03.2010</t>
  </si>
  <si>
    <t>As at 30.09.2009</t>
  </si>
  <si>
    <t>As at 30.09.2010</t>
  </si>
  <si>
    <t>Statement of assets and liabilities</t>
  </si>
  <si>
    <t>Place  : Bengaluru</t>
  </si>
  <si>
    <t>a. (Increase) / decrease in  stock in trade and work in progress</t>
  </si>
  <si>
    <t>Profit after Interest but before Exceptional Items (5-6)</t>
  </si>
  <si>
    <t>Profit (+) / Loss (-) from Ordinary Activities before tax (7+8)</t>
  </si>
  <si>
    <t>Paid up equity share capital (Face value of Re.1/- each)</t>
  </si>
  <si>
    <t>Profit from Operations before other income, Interest &amp; Exceptional items (1-2)</t>
  </si>
  <si>
    <t>- Percentage of shares (as a % of the total share capital of the company)</t>
  </si>
  <si>
    <t>The operations of the Company relate to only one segment viz., automotive vehicles and parts.</t>
  </si>
  <si>
    <t>ended</t>
  </si>
  <si>
    <t>(b) Reserves &amp; Surplus</t>
  </si>
  <si>
    <t>Fixed assets</t>
  </si>
  <si>
    <t>Current Assets, Loans and advances</t>
  </si>
  <si>
    <t>(c) Cash and Bank balances</t>
  </si>
  <si>
    <t>Less : Current liabilities and provisions</t>
  </si>
  <si>
    <t>Statement of assets and liabilities (STANDALONE)</t>
  </si>
  <si>
    <t>- Percentage of shares (as a % of the total shareholding of promoter and promoter group)</t>
  </si>
  <si>
    <t>Status of investor complaints: No. of complaints received and disposed during the quarter-9 . No.of complaints remaining unresolved at the commencement and at the end of the quarter- Nil.</t>
  </si>
  <si>
    <t>Reserve excluding Revaluation Reserves as per balance sheet of previous accounting year</t>
  </si>
  <si>
    <t xml:space="preserve">Basic and diluted EPS before Extraordinary items for the period, for the year to date and </t>
  </si>
  <si>
    <t>for the previous year (not to be annualised)</t>
  </si>
  <si>
    <t xml:space="preserve">Basic and diluted EPS after Extraordinary items for the period, for the year to date and </t>
  </si>
  <si>
    <t>As at 30.9.2010</t>
  </si>
  <si>
    <t>The amendment to AS 11, introduced by Government of India permits the difference in foreign exchange rates relating to External Commercial Borrowings (ECB) to be added to or deducted</t>
  </si>
  <si>
    <t>from cost of capital assets acquired through such loans. This has been effected in the computation of above results. Exchange difference in regard to ECB other than relating to acquisition of</t>
  </si>
  <si>
    <t xml:space="preserve">capital assets are added to or deducted from Foreign Currency Monetary Item Translation Difference Account. </t>
  </si>
  <si>
    <t>The above unaudited financial results were reviewed and recommended by the audit committee and approved by the board of directors at their meeting held on 21st October 2010 and a</t>
  </si>
  <si>
    <t>limited review of the same has been carried out by the statutory auditors of the Company.</t>
  </si>
  <si>
    <t>As at 31.3.2010</t>
  </si>
  <si>
    <t>The Committee of Directors on 10th September 2010 allotted 23,75,43,557 equity shares of Re.1/- each as bonus shares in the ratio of 1:1 to the shareholders whose names appeared in</t>
  </si>
  <si>
    <t>the Register of Members and / or Depositories as members and / or as beneficial owners as on the record date viz., 9th September 2010. In pursuance of Accounting Standard (AS-20) on</t>
  </si>
  <si>
    <t>Earnings per Share (EPS), EPS for the current and prior periods have been computed on the basis of new number of shares.</t>
  </si>
  <si>
    <t xml:space="preserve">  a) Rs.19.40 crs in preference shares of TVS Motor Services Limited.</t>
  </si>
  <si>
    <t>During the quarter ended 30.09.2010, the Company made the following investments:</t>
  </si>
  <si>
    <t>5</t>
  </si>
  <si>
    <t>6</t>
  </si>
  <si>
    <t>7</t>
  </si>
  <si>
    <t>8</t>
  </si>
  <si>
    <t>1</t>
  </si>
  <si>
    <t>2</t>
  </si>
  <si>
    <t>3</t>
  </si>
  <si>
    <t>4</t>
  </si>
  <si>
    <t>9</t>
  </si>
  <si>
    <t>11.</t>
  </si>
  <si>
    <t>Quarter ended</t>
  </si>
  <si>
    <t>Half year ended</t>
  </si>
  <si>
    <t>Previous year ended</t>
  </si>
  <si>
    <t>Date   : 21st October 2010</t>
  </si>
  <si>
    <t>For TVS MOTOR COMPANY LIMITED</t>
  </si>
  <si>
    <t>Foreign currency monetary translation reserve</t>
  </si>
  <si>
    <t xml:space="preserve">Corresponding year to date figure for the period ended  </t>
  </si>
  <si>
    <t>Net Profit (+) / Loss (-) from Ordinary Activities after tax (9-10)</t>
  </si>
  <si>
    <t>Net Profit (+) / Loss (-) for the period (11-12)</t>
  </si>
  <si>
    <t>As at 30.9.2009</t>
  </si>
  <si>
    <t xml:space="preserve">Sd/-                  </t>
  </si>
  <si>
    <t xml:space="preserve">  b) Rs.23.45 crs in preference shares of PT.TVS Motor Company Indonesia.</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</si>
</sst>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_);\(0\)"/>
    <numFmt numFmtId="179" formatCode="0.00_);\(0.00\)"/>
    <numFmt numFmtId="180" formatCode="_ &quot;R&quot;\ * #,##0_ ;_ &quot;R&quot;\ * \-#,##0_ ;_ &quot;R&quot;\ * &quot;-&quot;_ ;_ @_ "/>
    <numFmt numFmtId="181" formatCode="_-&quot;$&quot;* #,##0.00_-;\-&quot;$&quot;* #,##0.00_-;_-&quot;$&quot;* &quot;-&quot;??_-;_-@_-"/>
    <numFmt numFmtId="182" formatCode="mm/dd/yy"/>
    <numFmt numFmtId="183" formatCode="0.0"/>
    <numFmt numFmtId="184" formatCode="0.000"/>
    <numFmt numFmtId="185" formatCode="#,##0.00_ ;\-#,##0.00\ "/>
    <numFmt numFmtId="186" formatCode="#,##0.0000000000000_ ;\-#,##0.0000000000000\ "/>
    <numFmt numFmtId="187" formatCode="0.0000"/>
  </numFmts>
  <fonts count="39">
    <font>
      <sz val="11"/>
      <color indexed="8"/>
      <name val="Calibri"/>
      <family val="2"/>
    </font>
    <font>
      <sz val="12"/>
      <name val="Tahoma"/>
      <family val="2"/>
    </font>
    <font>
      <sz val="10"/>
      <name val="Arial"/>
      <family val="2"/>
    </font>
    <font>
      <sz val="11"/>
      <name val="Tahoma"/>
      <family val="2"/>
    </font>
    <font>
      <sz val="10"/>
      <name val="MS Sans Serif"/>
      <family val="2"/>
    </font>
    <font>
      <sz val="10"/>
      <name val="MS Serif"/>
      <family val="1"/>
    </font>
    <font>
      <sz val="10"/>
      <color indexed="16"/>
      <name val="MS Serif"/>
      <family val="1"/>
    </font>
    <font>
      <sz val="8"/>
      <name val="Arial"/>
      <family val="2"/>
    </font>
    <font>
      <b/>
      <sz val="12"/>
      <name val="Arial"/>
      <family val="2"/>
    </font>
    <font>
      <sz val="10"/>
      <name val="Univers (W1)"/>
      <family val="0"/>
    </font>
    <font>
      <sz val="8"/>
      <name val="Helv"/>
      <family val="0"/>
    </font>
    <font>
      <b/>
      <sz val="8"/>
      <color indexed="8"/>
      <name val="Helv"/>
      <family val="0"/>
    </font>
    <font>
      <sz val="14"/>
      <name val="ＭＳ 明朝"/>
      <family val="1"/>
    </font>
    <font>
      <b/>
      <sz val="11"/>
      <name val="Tahoma"/>
      <family val="2"/>
    </font>
    <font>
      <sz val="11"/>
      <color indexed="8"/>
      <name val="Tahoma"/>
      <family val="2"/>
    </font>
    <font>
      <u val="single"/>
      <sz val="11"/>
      <name val="Tahoma"/>
      <family val="2"/>
    </font>
    <font>
      <sz val="11"/>
      <color indexed="51"/>
      <name val="Tahoma"/>
      <family val="2"/>
    </font>
    <font>
      <sz val="11"/>
      <color indexed="10"/>
      <name val="Tahoma"/>
      <family val="2"/>
    </font>
    <font>
      <i/>
      <sz val="11"/>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1.5"/>
      <name val="Tahoma"/>
      <family val="2"/>
    </font>
    <font>
      <b/>
      <i/>
      <sz val="10"/>
      <name val="Arial"/>
      <family val="2"/>
    </font>
    <font>
      <b/>
      <sz val="12"/>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8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top>
        <color indexed="63"/>
      </top>
      <bottom>
        <color indexed="63"/>
      </bottom>
    </border>
    <border>
      <left/>
      <right style="thin"/>
      <top/>
      <bottom/>
    </border>
    <border>
      <left style="thin"/>
      <right style="thin"/>
      <top/>
      <bottom/>
    </border>
    <border>
      <left style="thin"/>
      <right/>
      <top/>
      <bottom/>
    </border>
    <border>
      <left/>
      <right/>
      <top style="thin"/>
      <bottom/>
    </border>
    <border>
      <left style="thin"/>
      <right/>
      <top style="thin"/>
      <bottom/>
    </border>
    <border>
      <left style="thin"/>
      <right/>
      <top/>
      <bottom style="thin"/>
    </border>
    <border>
      <left/>
      <right/>
      <top/>
      <bottom style="thin"/>
    </border>
    <border>
      <left style="thin"/>
      <right/>
      <top style="thin"/>
      <bottom style="thin"/>
    </border>
    <border>
      <left/>
      <right style="thin"/>
      <top style="thin"/>
      <bottom style="thin"/>
    </border>
    <border>
      <left/>
      <right style="thin"/>
      <top style="thin"/>
      <bottom/>
    </border>
    <border>
      <left style="thin"/>
      <right style="thin"/>
      <top style="thin"/>
      <bottom/>
    </border>
    <border>
      <left style="thin"/>
      <right style="thin"/>
      <top/>
      <bottom style="thin"/>
    </border>
    <border>
      <left>
        <color indexed="63"/>
      </left>
      <right style="thin"/>
      <top/>
      <bottom style="thin">
        <color indexed="8"/>
      </bottom>
    </border>
    <border>
      <left/>
      <right style="thin"/>
      <top/>
      <bottom style="thin"/>
    </border>
    <border>
      <left>
        <color indexed="63"/>
      </left>
      <right>
        <color indexed="63"/>
      </right>
      <top style="medium"/>
      <bottom style="thin"/>
    </border>
    <border>
      <left style="thin"/>
      <right style="thin"/>
      <top style="thin">
        <color indexed="8"/>
      </top>
      <bottom>
        <color indexed="63"/>
      </bottom>
    </border>
    <border>
      <left/>
      <right style="thin"/>
      <top style="thin">
        <color indexed="8"/>
      </top>
      <bottom>
        <color indexed="63"/>
      </bottom>
    </border>
    <border>
      <left style="thin"/>
      <right style="thin"/>
      <top>
        <color indexed="63"/>
      </top>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top/>
      <bottom style="thin"/>
    </border>
    <border>
      <left/>
      <right>
        <color indexed="63"/>
      </right>
      <top>
        <color indexed="63"/>
      </top>
      <bottom style="thin"/>
    </border>
    <border>
      <left>
        <color indexed="63"/>
      </left>
      <right style="thin"/>
      <top/>
      <bottom/>
    </border>
    <border>
      <left style="thin"/>
      <right/>
      <top>
        <color indexed="63"/>
      </top>
      <bottom/>
    </border>
    <border>
      <left/>
      <right/>
      <top style="medium"/>
      <bottom/>
    </border>
    <border>
      <left style="medium"/>
      <right/>
      <top/>
      <bottom/>
    </border>
    <border>
      <left style="thin"/>
      <right style="medium"/>
      <top/>
      <bottom/>
    </border>
    <border>
      <left style="thin"/>
      <right style="medium"/>
      <top style="thin"/>
      <bottom style="thin"/>
    </border>
    <border>
      <left style="medium"/>
      <right/>
      <top style="thin"/>
      <bottom style="thin"/>
    </border>
    <border>
      <left style="medium"/>
      <right/>
      <top style="thin"/>
      <bottom/>
    </border>
    <border>
      <left style="thin"/>
      <right style="medium"/>
      <top/>
      <bottom style="thin"/>
    </border>
    <border>
      <left/>
      <right style="medium"/>
      <top/>
      <bottom/>
    </border>
    <border>
      <left>
        <color indexed="63"/>
      </left>
      <right style="medium"/>
      <top style="thin"/>
      <bottom style="thin"/>
    </border>
    <border>
      <left style="medium"/>
      <right>
        <color indexed="63"/>
      </right>
      <top/>
      <bottom>
        <color indexed="63"/>
      </bottom>
    </border>
    <border>
      <left>
        <color indexed="63"/>
      </left>
      <right style="medium"/>
      <top>
        <color indexed="63"/>
      </top>
      <bottom>
        <color indexed="63"/>
      </bottom>
    </border>
    <border>
      <left style="medium"/>
      <right>
        <color indexed="63"/>
      </right>
      <top/>
      <bottom/>
    </border>
    <border>
      <left>
        <color indexed="63"/>
      </left>
      <right style="medium"/>
      <top>
        <color indexed="63"/>
      </top>
      <bottom style="thin"/>
    </border>
    <border>
      <left style="thin"/>
      <right style="medium"/>
      <top>
        <color indexed="63"/>
      </top>
      <bottom/>
    </border>
    <border>
      <left>
        <color indexed="63"/>
      </left>
      <right/>
      <top/>
      <bottom style="medium"/>
    </border>
    <border>
      <left/>
      <right/>
      <top/>
      <bottom style="medium"/>
    </border>
    <border>
      <left style="medium"/>
      <right/>
      <top>
        <color indexed="63"/>
      </top>
      <bottom>
        <color indexed="63"/>
      </bottom>
    </border>
    <border>
      <left/>
      <right style="thin"/>
      <top>
        <color indexed="63"/>
      </top>
      <bottom>
        <color indexed="63"/>
      </bottom>
    </border>
    <border>
      <left style="thin"/>
      <right style="medium"/>
      <top>
        <color indexed="63"/>
      </top>
      <bottom>
        <color indexed="63"/>
      </bottom>
    </border>
    <border>
      <left style="medium"/>
      <right/>
      <top/>
      <bottom style="thin"/>
    </border>
    <border>
      <left>
        <color indexed="63"/>
      </left>
      <right style="thin"/>
      <top style="thin"/>
      <bottom/>
    </border>
    <border>
      <left style="medium"/>
      <right/>
      <top/>
      <bottom>
        <color indexed="63"/>
      </bottom>
    </border>
    <border>
      <left style="medium"/>
      <right>
        <color indexed="63"/>
      </right>
      <top>
        <color indexed="63"/>
      </top>
      <bottom>
        <color indexed="63"/>
      </bottom>
    </border>
    <border>
      <left style="medium"/>
      <right/>
      <top/>
      <bottom style="medium"/>
    </border>
    <border>
      <left>
        <color indexed="63"/>
      </left>
      <right style="thin"/>
      <top style="thin"/>
      <bottom>
        <color indexed="63"/>
      </bottom>
    </border>
    <border>
      <left/>
      <right>
        <color indexed="63"/>
      </right>
      <top/>
      <bottom style="medium"/>
    </border>
    <border>
      <left>
        <color indexed="63"/>
      </left>
      <right>
        <color indexed="63"/>
      </right>
      <top/>
      <bottom style="medium"/>
    </border>
    <border>
      <left>
        <color indexed="63"/>
      </left>
      <right style="medium"/>
      <top/>
      <bottom style="medium"/>
    </border>
    <border>
      <left/>
      <right>
        <color indexed="63"/>
      </right>
      <top style="thin"/>
      <bottom/>
    </border>
    <border>
      <left style="medium"/>
      <right/>
      <top style="medium"/>
      <bottom/>
    </border>
    <border>
      <left>
        <color indexed="63"/>
      </left>
      <right/>
      <top style="medium"/>
      <bottom/>
    </border>
    <border>
      <left/>
      <right style="medium"/>
      <top style="medium"/>
      <bottom/>
    </border>
    <border>
      <left style="thin"/>
      <right/>
      <top style="medium"/>
      <bottom/>
    </border>
    <border>
      <left style="thin"/>
      <right style="medium"/>
      <top style="medium"/>
      <bottom/>
    </border>
    <border>
      <left>
        <color indexed="63"/>
      </left>
      <right>
        <color indexed="63"/>
      </right>
      <top style="medium"/>
      <bottom/>
    </border>
    <border>
      <left/>
      <right style="thin"/>
      <top style="medium"/>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top>
        <color indexed="63"/>
      </top>
      <bottom style="thin"/>
    </border>
    <border>
      <left/>
      <right>
        <color indexed="63"/>
      </right>
      <top/>
      <bottom style="thin"/>
    </border>
    <border>
      <left>
        <color indexed="63"/>
      </left>
      <right style="thin"/>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180" fontId="4" fillId="0" borderId="0" applyFill="0" applyBorder="0" applyAlignment="0">
      <protection/>
    </xf>
    <xf numFmtId="0" fontId="21" fillId="20" borderId="1" applyNumberFormat="0" applyAlignment="0" applyProtection="0"/>
    <xf numFmtId="0" fontId="22" fillId="21" borderId="2" applyNumberFormat="0" applyAlignment="0" applyProtection="0"/>
    <xf numFmtId="43" fontId="2" fillId="0" borderId="0" applyFont="0" applyFill="0" applyBorder="0" applyAlignment="0" applyProtection="0"/>
    <xf numFmtId="169" fontId="0" fillId="0" borderId="0" applyFont="0" applyFill="0" applyBorder="0" applyAlignment="0" applyProtection="0"/>
    <xf numFmtId="0" fontId="5" fillId="0" borderId="0" applyNumberFormat="0" applyAlignment="0">
      <protection/>
    </xf>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Alignment="0">
      <protection/>
    </xf>
    <xf numFmtId="0" fontId="23" fillId="0" borderId="0" applyNumberFormat="0" applyFill="0" applyBorder="0" applyAlignment="0" applyProtection="0"/>
    <xf numFmtId="0" fontId="24" fillId="4" borderId="0" applyNumberFormat="0" applyBorder="0" applyAlignment="0" applyProtection="0"/>
    <xf numFmtId="38" fontId="7" fillId="20" borderId="0" applyNumberFormat="0" applyBorder="0" applyAlignment="0" applyProtection="0"/>
    <xf numFmtId="0" fontId="8" fillId="0" borderId="3" applyNumberFormat="0" applyAlignment="0" applyProtection="0"/>
    <xf numFmtId="0" fontId="8" fillId="0" borderId="4">
      <alignment horizontal="left" vertical="center"/>
      <protection/>
    </xf>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7" borderId="1" applyNumberFormat="0" applyAlignment="0" applyProtection="0"/>
    <xf numFmtId="10" fontId="7" fillId="22" borderId="8" applyNumberFormat="0" applyBorder="0" applyAlignment="0" applyProtection="0"/>
    <xf numFmtId="0" fontId="29" fillId="0" borderId="9" applyNumberFormat="0" applyFill="0" applyAlignment="0" applyProtection="0"/>
    <xf numFmtId="0" fontId="30" fillId="23" borderId="0" applyNumberFormat="0" applyBorder="0" applyAlignment="0" applyProtection="0"/>
    <xf numFmtId="181" fontId="9" fillId="0" borderId="0">
      <alignment/>
      <protection/>
    </xf>
    <xf numFmtId="0" fontId="2" fillId="0" borderId="0">
      <alignment/>
      <protection/>
    </xf>
    <xf numFmtId="0" fontId="1" fillId="0" borderId="0">
      <alignment/>
      <protection/>
    </xf>
    <xf numFmtId="0" fontId="0" fillId="22" borderId="10" applyNumberFormat="0" applyFont="0" applyAlignment="0" applyProtection="0"/>
    <xf numFmtId="0" fontId="31" fillId="20" borderId="11" applyNumberFormat="0" applyAlignment="0" applyProtection="0"/>
    <xf numFmtId="9" fontId="0" fillId="0" borderId="0" applyFont="0" applyFill="0" applyBorder="0" applyAlignment="0" applyProtection="0"/>
    <xf numFmtId="10" fontId="2" fillId="0" borderId="0" applyFont="0" applyFill="0" applyBorder="0" applyAlignment="0" applyProtection="0"/>
    <xf numFmtId="182" fontId="10" fillId="0" borderId="0" applyNumberFormat="0" applyFill="0" applyBorder="0" applyAlignment="0" applyProtection="0"/>
    <xf numFmtId="40" fontId="11" fillId="0" borderId="0" applyBorder="0">
      <alignment horizontal="right"/>
      <protection/>
    </xf>
    <xf numFmtId="0" fontId="32" fillId="0" borderId="0" applyNumberFormat="0" applyFill="0" applyBorder="0" applyAlignment="0" applyProtection="0"/>
    <xf numFmtId="0" fontId="33" fillId="0" borderId="12" applyNumberFormat="0" applyFill="0" applyAlignment="0" applyProtection="0"/>
    <xf numFmtId="0" fontId="34" fillId="0" borderId="0" applyNumberFormat="0" applyFill="0" applyBorder="0" applyAlignment="0" applyProtection="0"/>
    <xf numFmtId="0" fontId="12" fillId="0" borderId="0">
      <alignment/>
      <protection/>
    </xf>
  </cellStyleXfs>
  <cellXfs count="458">
    <xf numFmtId="0" fontId="0" fillId="0" borderId="0" xfId="0" applyAlignment="1">
      <alignment/>
    </xf>
    <xf numFmtId="43" fontId="3" fillId="24" borderId="13" xfId="43" applyFont="1" applyFill="1" applyBorder="1" applyAlignment="1" applyProtection="1" quotePrefix="1">
      <alignment horizontal="right"/>
      <protection/>
    </xf>
    <xf numFmtId="43" fontId="3" fillId="24" borderId="14" xfId="43" applyFont="1" applyFill="1" applyBorder="1" applyAlignment="1" applyProtection="1" quotePrefix="1">
      <alignment horizontal="right"/>
      <protection/>
    </xf>
    <xf numFmtId="43" fontId="3" fillId="24" borderId="15" xfId="43" applyFont="1" applyFill="1" applyBorder="1" applyAlignment="1" applyProtection="1" quotePrefix="1">
      <alignment horizontal="right"/>
      <protection/>
    </xf>
    <xf numFmtId="0" fontId="3" fillId="24" borderId="0" xfId="64" applyFont="1" applyFill="1" applyBorder="1">
      <alignment/>
      <protection/>
    </xf>
    <xf numFmtId="0" fontId="3" fillId="24" borderId="0" xfId="64" applyFont="1" applyFill="1">
      <alignment/>
      <protection/>
    </xf>
    <xf numFmtId="0" fontId="13" fillId="24" borderId="16" xfId="64" applyFont="1" applyFill="1" applyBorder="1" applyAlignment="1" applyProtection="1">
      <alignment horizontal="center"/>
      <protection/>
    </xf>
    <xf numFmtId="0" fontId="13" fillId="24" borderId="0" xfId="64" applyFont="1" applyFill="1" applyBorder="1" applyAlignment="1" applyProtection="1">
      <alignment horizontal="center"/>
      <protection/>
    </xf>
    <xf numFmtId="0" fontId="13" fillId="24" borderId="14" xfId="64" applyFont="1" applyFill="1" applyBorder="1" applyAlignment="1" applyProtection="1">
      <alignment horizontal="center"/>
      <protection/>
    </xf>
    <xf numFmtId="0" fontId="13" fillId="11" borderId="0" xfId="64" applyFont="1" applyFill="1" applyBorder="1" applyAlignment="1" applyProtection="1">
      <alignment horizontal="center"/>
      <protection/>
    </xf>
    <xf numFmtId="43" fontId="13" fillId="24" borderId="0" xfId="43" applyFont="1" applyFill="1" applyBorder="1" applyAlignment="1" applyProtection="1">
      <alignment horizontal="center"/>
      <protection/>
    </xf>
    <xf numFmtId="0" fontId="13" fillId="24" borderId="0" xfId="64" applyFont="1" applyFill="1" applyBorder="1" applyAlignment="1">
      <alignment horizontal="left"/>
      <protection/>
    </xf>
    <xf numFmtId="0" fontId="3" fillId="24" borderId="16" xfId="64" applyFont="1" applyFill="1" applyBorder="1">
      <alignment/>
      <protection/>
    </xf>
    <xf numFmtId="0" fontId="3" fillId="24" borderId="0" xfId="64" applyFont="1" applyFill="1" applyBorder="1" applyAlignment="1" applyProtection="1">
      <alignment horizontal="left"/>
      <protection/>
    </xf>
    <xf numFmtId="0" fontId="3" fillId="11" borderId="0" xfId="64" applyFont="1" applyFill="1" applyBorder="1" applyAlignment="1" applyProtection="1">
      <alignment horizontal="left"/>
      <protection/>
    </xf>
    <xf numFmtId="43" fontId="13" fillId="24" borderId="0" xfId="43" applyFont="1" applyFill="1" applyBorder="1" applyAlignment="1">
      <alignment horizontal="center"/>
    </xf>
    <xf numFmtId="0" fontId="3" fillId="24" borderId="14" xfId="64" applyFont="1" applyFill="1" applyBorder="1">
      <alignment/>
      <protection/>
    </xf>
    <xf numFmtId="0" fontId="3" fillId="24" borderId="0" xfId="64" applyFont="1" applyFill="1" applyBorder="1" applyAlignment="1" applyProtection="1">
      <alignment horizontal="center"/>
      <protection/>
    </xf>
    <xf numFmtId="0" fontId="3" fillId="11" borderId="0" xfId="64" applyFont="1" applyFill="1" applyBorder="1" applyAlignment="1" applyProtection="1">
      <alignment horizontal="center"/>
      <protection/>
    </xf>
    <xf numFmtId="0" fontId="3" fillId="24" borderId="14" xfId="64" applyFont="1" applyFill="1" applyBorder="1" applyAlignment="1" applyProtection="1">
      <alignment horizontal="center"/>
      <protection/>
    </xf>
    <xf numFmtId="0" fontId="3" fillId="11" borderId="17" xfId="64" applyFont="1" applyFill="1" applyBorder="1" applyAlignment="1" applyProtection="1">
      <alignment horizontal="center" vertical="center"/>
      <protection/>
    </xf>
    <xf numFmtId="0" fontId="3" fillId="11" borderId="18" xfId="64" applyFont="1" applyFill="1" applyBorder="1" applyAlignment="1" applyProtection="1">
      <alignment horizontal="center" vertical="center" wrapText="1"/>
      <protection/>
    </xf>
    <xf numFmtId="0" fontId="3" fillId="24" borderId="16" xfId="64" applyFont="1" applyFill="1" applyBorder="1" applyAlignment="1" applyProtection="1">
      <alignment horizontal="center" vertical="center"/>
      <protection/>
    </xf>
    <xf numFmtId="0" fontId="3" fillId="24" borderId="14" xfId="64" applyFont="1" applyFill="1" applyBorder="1" applyAlignment="1" applyProtection="1">
      <alignment horizontal="center" vertical="center"/>
      <protection/>
    </xf>
    <xf numFmtId="0" fontId="3" fillId="11" borderId="0" xfId="64" applyFont="1" applyFill="1" applyBorder="1" applyAlignment="1" applyProtection="1">
      <alignment horizontal="center" vertical="center"/>
      <protection/>
    </xf>
    <xf numFmtId="0" fontId="3" fillId="11" borderId="19" xfId="64" applyFont="1" applyFill="1" applyBorder="1" applyAlignment="1" applyProtection="1">
      <alignment horizontal="center" vertical="center" wrapText="1"/>
      <protection/>
    </xf>
    <xf numFmtId="0" fontId="3" fillId="11" borderId="14" xfId="64" applyFont="1" applyFill="1" applyBorder="1" applyAlignment="1" applyProtection="1">
      <alignment horizontal="center" vertical="center"/>
      <protection/>
    </xf>
    <xf numFmtId="0" fontId="3" fillId="11" borderId="14" xfId="64" applyFont="1" applyFill="1" applyBorder="1" applyAlignment="1" applyProtection="1">
      <alignment horizontal="center"/>
      <protection/>
    </xf>
    <xf numFmtId="0" fontId="3" fillId="24" borderId="15" xfId="64" applyFont="1" applyFill="1" applyBorder="1" applyAlignment="1" applyProtection="1">
      <alignment horizontal="center"/>
      <protection/>
    </xf>
    <xf numFmtId="43" fontId="3" fillId="24" borderId="20" xfId="43" applyFont="1" applyFill="1" applyBorder="1" applyAlignment="1" applyProtection="1">
      <alignment vertical="center" wrapText="1"/>
      <protection/>
    </xf>
    <xf numFmtId="43" fontId="3" fillId="24" borderId="14" xfId="43" applyFont="1" applyFill="1" applyBorder="1" applyAlignment="1" applyProtection="1">
      <alignment horizontal="center"/>
      <protection/>
    </xf>
    <xf numFmtId="0" fontId="3" fillId="24" borderId="21" xfId="64" applyFont="1" applyFill="1" applyBorder="1" applyAlignment="1" quotePrefix="1">
      <alignment horizontal="center"/>
      <protection/>
    </xf>
    <xf numFmtId="0" fontId="3" fillId="24" borderId="22" xfId="64" applyFont="1" applyFill="1" applyBorder="1" applyAlignment="1" quotePrefix="1">
      <alignment horizontal="center"/>
      <protection/>
    </xf>
    <xf numFmtId="0" fontId="3" fillId="11" borderId="22" xfId="64" applyFont="1" applyFill="1" applyBorder="1" applyAlignment="1" quotePrefix="1">
      <alignment horizontal="center"/>
      <protection/>
    </xf>
    <xf numFmtId="0" fontId="3" fillId="24" borderId="8" xfId="64" applyFont="1" applyFill="1" applyBorder="1" applyAlignment="1" quotePrefix="1">
      <alignment horizontal="center"/>
      <protection/>
    </xf>
    <xf numFmtId="43" fontId="3" fillId="24" borderId="22" xfId="43" applyFont="1" applyFill="1" applyBorder="1" applyAlignment="1" quotePrefix="1">
      <alignment horizontal="center"/>
    </xf>
    <xf numFmtId="0" fontId="3" fillId="24" borderId="14" xfId="64" applyFont="1" applyFill="1" applyBorder="1" applyAlignment="1" quotePrefix="1">
      <alignment horizontal="center"/>
      <protection/>
    </xf>
    <xf numFmtId="0" fontId="3" fillId="24" borderId="18" xfId="64" applyFont="1" applyFill="1" applyBorder="1" applyAlignment="1" applyProtection="1" quotePrefix="1">
      <alignment horizontal="center"/>
      <protection/>
    </xf>
    <xf numFmtId="0" fontId="3" fillId="24" borderId="23" xfId="64" applyFont="1" applyFill="1" applyBorder="1">
      <alignment/>
      <protection/>
    </xf>
    <xf numFmtId="0" fontId="3" fillId="11" borderId="23" xfId="64" applyFont="1" applyFill="1" applyBorder="1">
      <alignment/>
      <protection/>
    </xf>
    <xf numFmtId="43" fontId="3" fillId="24" borderId="24" xfId="43" applyFont="1" applyFill="1" applyBorder="1" applyAlignment="1">
      <alignment/>
    </xf>
    <xf numFmtId="43" fontId="3" fillId="11" borderId="24" xfId="43" applyFont="1" applyFill="1" applyBorder="1" applyAlignment="1">
      <alignment/>
    </xf>
    <xf numFmtId="171" fontId="3" fillId="24" borderId="24" xfId="64" applyNumberFormat="1" applyFont="1" applyFill="1" applyBorder="1">
      <alignment/>
      <protection/>
    </xf>
    <xf numFmtId="43" fontId="3" fillId="24" borderId="15" xfId="43" applyFont="1" applyFill="1" applyBorder="1" applyAlignment="1">
      <alignment/>
    </xf>
    <xf numFmtId="43" fontId="3" fillId="24" borderId="23" xfId="43" applyFont="1" applyFill="1" applyBorder="1" applyAlignment="1" applyProtection="1">
      <alignment/>
      <protection/>
    </xf>
    <xf numFmtId="1" fontId="3" fillId="24" borderId="14" xfId="64" applyNumberFormat="1" applyFont="1" applyFill="1" applyBorder="1" applyProtection="1">
      <alignment/>
      <protection/>
    </xf>
    <xf numFmtId="0" fontId="3" fillId="24" borderId="16" xfId="64" applyFont="1" applyFill="1" applyBorder="1" applyAlignment="1" applyProtection="1" quotePrefix="1">
      <alignment horizontal="center"/>
      <protection/>
    </xf>
    <xf numFmtId="0" fontId="3" fillId="24" borderId="14" xfId="64" applyFont="1" applyFill="1" applyBorder="1" applyAlignment="1" applyProtection="1">
      <alignment horizontal="left"/>
      <protection/>
    </xf>
    <xf numFmtId="0" fontId="3" fillId="11" borderId="25" xfId="64" applyFont="1" applyFill="1" applyBorder="1" applyAlignment="1" applyProtection="1">
      <alignment horizontal="right"/>
      <protection/>
    </xf>
    <xf numFmtId="43" fontId="3" fillId="24" borderId="25" xfId="43" applyFont="1" applyFill="1" applyBorder="1" applyAlignment="1">
      <alignment/>
    </xf>
    <xf numFmtId="43" fontId="3" fillId="11" borderId="25" xfId="43" applyFont="1" applyFill="1" applyBorder="1" applyAlignment="1">
      <alignment/>
    </xf>
    <xf numFmtId="171" fontId="3" fillId="24" borderId="25" xfId="64" applyNumberFormat="1" applyFont="1" applyFill="1" applyBorder="1">
      <alignment/>
      <protection/>
    </xf>
    <xf numFmtId="43" fontId="3" fillId="24" borderId="26" xfId="43" applyFont="1" applyFill="1" applyBorder="1" applyAlignment="1" applyProtection="1">
      <alignment/>
      <protection/>
    </xf>
    <xf numFmtId="0" fontId="3" fillId="24" borderId="16" xfId="64" applyFont="1" applyFill="1" applyBorder="1" applyAlignment="1">
      <alignment horizontal="center"/>
      <protection/>
    </xf>
    <xf numFmtId="2" fontId="3" fillId="11" borderId="25" xfId="64" applyNumberFormat="1" applyFont="1" applyFill="1" applyBorder="1" applyProtection="1">
      <alignment/>
      <protection/>
    </xf>
    <xf numFmtId="43" fontId="3" fillId="24" borderId="25" xfId="43" applyFont="1" applyFill="1" applyBorder="1" applyAlignment="1" applyProtection="1">
      <alignment horizontal="left"/>
      <protection/>
    </xf>
    <xf numFmtId="171" fontId="3" fillId="24" borderId="25" xfId="64" applyNumberFormat="1" applyFont="1" applyFill="1" applyBorder="1" applyAlignment="1" applyProtection="1">
      <alignment horizontal="left"/>
      <protection/>
    </xf>
    <xf numFmtId="43" fontId="3" fillId="24" borderId="25" xfId="43" applyFont="1" applyFill="1" applyBorder="1" applyAlignment="1" applyProtection="1">
      <alignment/>
      <protection/>
    </xf>
    <xf numFmtId="43" fontId="3" fillId="24" borderId="27" xfId="43" applyFont="1" applyFill="1" applyBorder="1" applyAlignment="1" applyProtection="1">
      <alignment/>
      <protection/>
    </xf>
    <xf numFmtId="0" fontId="3" fillId="24" borderId="16" xfId="64" applyFont="1" applyFill="1" applyBorder="1" applyAlignment="1" quotePrefix="1">
      <alignment horizontal="center"/>
      <protection/>
    </xf>
    <xf numFmtId="0" fontId="3" fillId="11" borderId="14" xfId="64" applyFont="1" applyFill="1" applyBorder="1" applyAlignment="1" applyProtection="1">
      <alignment horizontal="left"/>
      <protection/>
    </xf>
    <xf numFmtId="0" fontId="3" fillId="24" borderId="15" xfId="64" applyFont="1" applyFill="1" applyBorder="1" applyAlignment="1" applyProtection="1">
      <alignment horizontal="left"/>
      <protection/>
    </xf>
    <xf numFmtId="0" fontId="3" fillId="11" borderId="15" xfId="64" applyFont="1" applyFill="1" applyBorder="1" applyAlignment="1" applyProtection="1">
      <alignment horizontal="left"/>
      <protection/>
    </xf>
    <xf numFmtId="0" fontId="3" fillId="24" borderId="15" xfId="64" applyFont="1" applyFill="1" applyBorder="1">
      <alignment/>
      <protection/>
    </xf>
    <xf numFmtId="43" fontId="3" fillId="24" borderId="14" xfId="43" applyFont="1" applyFill="1" applyBorder="1" applyAlignment="1" applyProtection="1">
      <alignment/>
      <protection/>
    </xf>
    <xf numFmtId="43" fontId="3" fillId="11" borderId="14" xfId="43" applyFont="1" applyFill="1" applyBorder="1" applyAlignment="1" applyProtection="1">
      <alignment horizontal="left"/>
      <protection/>
    </xf>
    <xf numFmtId="43" fontId="3" fillId="24" borderId="15" xfId="43" applyFont="1" applyFill="1" applyBorder="1" applyAlignment="1" applyProtection="1">
      <alignment horizontal="left"/>
      <protection/>
    </xf>
    <xf numFmtId="43" fontId="3" fillId="11" borderId="15" xfId="43" applyFont="1" applyFill="1" applyBorder="1" applyAlignment="1" applyProtection="1">
      <alignment horizontal="left"/>
      <protection/>
    </xf>
    <xf numFmtId="171" fontId="3" fillId="24" borderId="15" xfId="64" applyNumberFormat="1" applyFont="1" applyFill="1" applyBorder="1" applyAlignment="1" applyProtection="1">
      <alignment horizontal="left"/>
      <protection/>
    </xf>
    <xf numFmtId="171" fontId="3" fillId="24" borderId="0" xfId="64" applyNumberFormat="1" applyFont="1" applyFill="1">
      <alignment/>
      <protection/>
    </xf>
    <xf numFmtId="0" fontId="3" fillId="24" borderId="16" xfId="64" applyFont="1" applyFill="1" applyBorder="1" applyAlignment="1" applyProtection="1">
      <alignment horizontal="center"/>
      <protection/>
    </xf>
    <xf numFmtId="2" fontId="3" fillId="24" borderId="0" xfId="64" applyNumberFormat="1" applyFont="1" applyFill="1">
      <alignment/>
      <protection/>
    </xf>
    <xf numFmtId="171" fontId="3" fillId="24" borderId="0" xfId="64" applyNumberFormat="1" applyFont="1" applyFill="1" applyBorder="1">
      <alignment/>
      <protection/>
    </xf>
    <xf numFmtId="43" fontId="3" fillId="11" borderId="15" xfId="43" applyFont="1" applyFill="1" applyBorder="1" applyAlignment="1" applyProtection="1">
      <alignment/>
      <protection/>
    </xf>
    <xf numFmtId="43" fontId="3" fillId="24" borderId="15" xfId="43" applyFont="1" applyFill="1" applyBorder="1" applyAlignment="1" applyProtection="1">
      <alignment/>
      <protection/>
    </xf>
    <xf numFmtId="1" fontId="3" fillId="24" borderId="14" xfId="64" applyNumberFormat="1" applyFont="1" applyFill="1" applyBorder="1" applyAlignment="1" applyProtection="1" quotePrefix="1">
      <alignment horizontal="right"/>
      <protection/>
    </xf>
    <xf numFmtId="43" fontId="3" fillId="11" borderId="15" xfId="43" applyFont="1" applyFill="1" applyBorder="1" applyAlignment="1" applyProtection="1" quotePrefix="1">
      <alignment horizontal="right"/>
      <protection/>
    </xf>
    <xf numFmtId="2" fontId="3" fillId="24" borderId="15" xfId="64" applyNumberFormat="1" applyFont="1" applyFill="1" applyBorder="1" applyProtection="1">
      <alignment/>
      <protection/>
    </xf>
    <xf numFmtId="43" fontId="3" fillId="24" borderId="15" xfId="43" applyFont="1" applyFill="1" applyBorder="1" applyAlignment="1" applyProtection="1">
      <alignment horizontal="right"/>
      <protection/>
    </xf>
    <xf numFmtId="0" fontId="3" fillId="24" borderId="14" xfId="64" applyFont="1" applyFill="1" applyBorder="1" applyAlignment="1" applyProtection="1" quotePrefix="1">
      <alignment horizontal="left"/>
      <protection/>
    </xf>
    <xf numFmtId="43" fontId="3" fillId="0" borderId="14" xfId="43" applyFont="1" applyFill="1" applyBorder="1" applyAlignment="1" applyProtection="1">
      <alignment/>
      <protection/>
    </xf>
    <xf numFmtId="1" fontId="3" fillId="0" borderId="14" xfId="64" applyNumberFormat="1" applyFont="1" applyFill="1" applyBorder="1" applyProtection="1">
      <alignment/>
      <protection/>
    </xf>
    <xf numFmtId="2" fontId="3" fillId="24" borderId="14" xfId="64" applyNumberFormat="1" applyFont="1" applyFill="1" applyBorder="1" applyProtection="1">
      <alignment/>
      <protection/>
    </xf>
    <xf numFmtId="2" fontId="3" fillId="11" borderId="15" xfId="64" applyNumberFormat="1" applyFont="1" applyFill="1" applyBorder="1" applyProtection="1">
      <alignment/>
      <protection/>
    </xf>
    <xf numFmtId="0" fontId="3" fillId="11" borderId="14" xfId="64" applyFont="1" applyFill="1" applyBorder="1" applyAlignment="1" applyProtection="1" quotePrefix="1">
      <alignment horizontal="left"/>
      <protection/>
    </xf>
    <xf numFmtId="0" fontId="3" fillId="24" borderId="15" xfId="64" applyFont="1" applyFill="1" applyBorder="1" applyAlignment="1" applyProtection="1" quotePrefix="1">
      <alignment horizontal="right"/>
      <protection/>
    </xf>
    <xf numFmtId="0" fontId="3" fillId="11" borderId="15" xfId="64" applyFont="1" applyFill="1" applyBorder="1" applyAlignment="1" applyProtection="1" quotePrefix="1">
      <alignment horizontal="left"/>
      <protection/>
    </xf>
    <xf numFmtId="2" fontId="3" fillId="11" borderId="15" xfId="64" applyNumberFormat="1" applyFont="1" applyFill="1" applyBorder="1" applyAlignment="1" applyProtection="1">
      <alignment horizontal="center"/>
      <protection/>
    </xf>
    <xf numFmtId="1" fontId="3" fillId="24" borderId="15" xfId="64" applyNumberFormat="1" applyFont="1" applyFill="1" applyBorder="1" applyProtection="1">
      <alignment/>
      <protection/>
    </xf>
    <xf numFmtId="0" fontId="3" fillId="24" borderId="14" xfId="64" applyFont="1" applyFill="1" applyBorder="1" applyAlignment="1" applyProtection="1" quotePrefix="1">
      <alignment horizontal="right"/>
      <protection/>
    </xf>
    <xf numFmtId="0" fontId="3" fillId="24" borderId="15" xfId="64" applyFont="1" applyFill="1" applyBorder="1" applyAlignment="1" applyProtection="1" quotePrefix="1">
      <alignment horizontal="left"/>
      <protection/>
    </xf>
    <xf numFmtId="0" fontId="3" fillId="24" borderId="15" xfId="64" applyFont="1" applyFill="1" applyBorder="1" applyAlignment="1" applyProtection="1">
      <alignment horizontal="right"/>
      <protection/>
    </xf>
    <xf numFmtId="0" fontId="3" fillId="24" borderId="19" xfId="64" applyFont="1" applyFill="1" applyBorder="1">
      <alignment/>
      <protection/>
    </xf>
    <xf numFmtId="0" fontId="3" fillId="24" borderId="27" xfId="64" applyFont="1" applyFill="1" applyBorder="1" applyAlignment="1" applyProtection="1" quotePrefix="1">
      <alignment horizontal="left"/>
      <protection/>
    </xf>
    <xf numFmtId="0" fontId="3" fillId="11" borderId="27" xfId="64" applyFont="1" applyFill="1" applyBorder="1" applyAlignment="1" applyProtection="1" quotePrefix="1">
      <alignment horizontal="left"/>
      <protection/>
    </xf>
    <xf numFmtId="0" fontId="3" fillId="24" borderId="25" xfId="64" applyFont="1" applyFill="1" applyBorder="1" applyAlignment="1" applyProtection="1" quotePrefix="1">
      <alignment horizontal="left"/>
      <protection/>
    </xf>
    <xf numFmtId="0" fontId="3" fillId="11" borderId="25" xfId="64" applyFont="1" applyFill="1" applyBorder="1" applyAlignment="1" applyProtection="1" quotePrefix="1">
      <alignment horizontal="left"/>
      <protection/>
    </xf>
    <xf numFmtId="0" fontId="3" fillId="24" borderId="25" xfId="64" applyFont="1" applyFill="1" applyBorder="1">
      <alignment/>
      <protection/>
    </xf>
    <xf numFmtId="43" fontId="3" fillId="24" borderId="27" xfId="43" applyFont="1" applyFill="1" applyBorder="1" applyAlignment="1">
      <alignment/>
    </xf>
    <xf numFmtId="0" fontId="3" fillId="24" borderId="27" xfId="64" applyFont="1" applyFill="1" applyBorder="1">
      <alignment/>
      <protection/>
    </xf>
    <xf numFmtId="0" fontId="15" fillId="24" borderId="18" xfId="64" applyFont="1" applyFill="1" applyBorder="1" applyAlignment="1">
      <alignment horizontal="left"/>
      <protection/>
    </xf>
    <xf numFmtId="0" fontId="3" fillId="24" borderId="17" xfId="64" applyFont="1" applyFill="1" applyBorder="1" applyAlignment="1" applyProtection="1">
      <alignment horizontal="left"/>
      <protection/>
    </xf>
    <xf numFmtId="0" fontId="3" fillId="11" borderId="17" xfId="64" applyFont="1" applyFill="1" applyBorder="1" applyAlignment="1" applyProtection="1">
      <alignment horizontal="left"/>
      <protection/>
    </xf>
    <xf numFmtId="43" fontId="14" fillId="24" borderId="0" xfId="43" applyFont="1" applyFill="1" applyBorder="1" applyAlignment="1">
      <alignment/>
    </xf>
    <xf numFmtId="0" fontId="3" fillId="25" borderId="0" xfId="64" applyFont="1" applyFill="1" applyBorder="1">
      <alignment/>
      <protection/>
    </xf>
    <xf numFmtId="0" fontId="3" fillId="24" borderId="0" xfId="64" applyFont="1" applyFill="1" applyBorder="1" applyAlignment="1" applyProtection="1" quotePrefix="1">
      <alignment horizontal="left"/>
      <protection/>
    </xf>
    <xf numFmtId="0" fontId="3" fillId="24" borderId="0" xfId="64" applyFont="1" applyFill="1" applyBorder="1" applyAlignment="1">
      <alignment/>
      <protection/>
    </xf>
    <xf numFmtId="0" fontId="3" fillId="24" borderId="0" xfId="64" applyFont="1" applyFill="1" applyBorder="1" applyAlignment="1">
      <alignment horizontal="center"/>
      <protection/>
    </xf>
    <xf numFmtId="0" fontId="3" fillId="25" borderId="28" xfId="64" applyFont="1" applyFill="1" applyBorder="1">
      <alignment/>
      <protection/>
    </xf>
    <xf numFmtId="0" fontId="3" fillId="24" borderId="28" xfId="64" applyFont="1" applyFill="1" applyBorder="1">
      <alignment/>
      <protection/>
    </xf>
    <xf numFmtId="0" fontId="3" fillId="11" borderId="0" xfId="64" applyFont="1" applyFill="1">
      <alignment/>
      <protection/>
    </xf>
    <xf numFmtId="43" fontId="3" fillId="24" borderId="0" xfId="43" applyFont="1" applyFill="1" applyAlignment="1">
      <alignment/>
    </xf>
    <xf numFmtId="0" fontId="15" fillId="24" borderId="16" xfId="64" applyFont="1" applyFill="1" applyBorder="1" applyAlignment="1">
      <alignment horizontal="left"/>
      <protection/>
    </xf>
    <xf numFmtId="0" fontId="3" fillId="24" borderId="16" xfId="64" applyFont="1" applyFill="1" applyBorder="1" applyAlignment="1" quotePrefix="1">
      <alignment horizontal="left"/>
      <protection/>
    </xf>
    <xf numFmtId="0" fontId="3" fillId="24" borderId="16" xfId="64" applyFont="1" applyFill="1" applyBorder="1" applyAlignment="1">
      <alignment horizontal="left"/>
      <protection/>
    </xf>
    <xf numFmtId="2" fontId="3" fillId="24" borderId="15" xfId="64" applyNumberFormat="1" applyFont="1" applyFill="1" applyBorder="1" applyAlignment="1" applyProtection="1">
      <alignment horizontal="right"/>
      <protection/>
    </xf>
    <xf numFmtId="43" fontId="3" fillId="24" borderId="14" xfId="43" applyFont="1" applyFill="1" applyBorder="1" applyAlignment="1" applyProtection="1">
      <alignment horizontal="right"/>
      <protection/>
    </xf>
    <xf numFmtId="0" fontId="13" fillId="24" borderId="0" xfId="64" applyFont="1" applyFill="1" applyBorder="1" applyAlignment="1" applyProtection="1">
      <alignment horizontal="left"/>
      <protection/>
    </xf>
    <xf numFmtId="0" fontId="3" fillId="24" borderId="0" xfId="64" applyFont="1" applyFill="1" applyBorder="1" applyAlignment="1" quotePrefix="1">
      <alignment horizontal="center"/>
      <protection/>
    </xf>
    <xf numFmtId="1" fontId="3" fillId="24" borderId="0" xfId="64" applyNumberFormat="1" applyFont="1" applyFill="1" applyBorder="1" applyProtection="1">
      <alignment/>
      <protection/>
    </xf>
    <xf numFmtId="1" fontId="3" fillId="24" borderId="0" xfId="64" applyNumberFormat="1" applyFont="1" applyFill="1" applyBorder="1" applyAlignment="1" applyProtection="1" quotePrefix="1">
      <alignment horizontal="right"/>
      <protection/>
    </xf>
    <xf numFmtId="43" fontId="3" fillId="24" borderId="0" xfId="43" applyFont="1" applyFill="1" applyBorder="1" applyAlignment="1" applyProtection="1">
      <alignment/>
      <protection/>
    </xf>
    <xf numFmtId="1" fontId="3" fillId="0" borderId="0" xfId="64" applyNumberFormat="1" applyFont="1" applyFill="1" applyBorder="1" applyProtection="1">
      <alignment/>
      <protection/>
    </xf>
    <xf numFmtId="2" fontId="3" fillId="24" borderId="0" xfId="64" applyNumberFormat="1" applyFont="1" applyFill="1" applyBorder="1" applyProtection="1">
      <alignment/>
      <protection/>
    </xf>
    <xf numFmtId="0" fontId="3" fillId="24" borderId="20" xfId="64" applyFont="1" applyFill="1" applyBorder="1">
      <alignment/>
      <protection/>
    </xf>
    <xf numFmtId="171" fontId="3" fillId="24" borderId="15" xfId="64" applyNumberFormat="1" applyFont="1" applyFill="1" applyBorder="1" applyAlignment="1" applyProtection="1">
      <alignment horizontal="right"/>
      <protection/>
    </xf>
    <xf numFmtId="0" fontId="3" fillId="11" borderId="0" xfId="64" applyFont="1" applyFill="1" applyBorder="1" applyAlignment="1" applyProtection="1" quotePrefix="1">
      <alignment horizontal="left"/>
      <protection/>
    </xf>
    <xf numFmtId="0" fontId="3" fillId="24" borderId="24" xfId="64" applyFont="1" applyFill="1" applyBorder="1" applyAlignment="1" applyProtection="1">
      <alignment horizontal="left"/>
      <protection/>
    </xf>
    <xf numFmtId="0" fontId="3" fillId="11" borderId="16" xfId="64" applyFont="1" applyFill="1" applyBorder="1" applyAlignment="1" applyProtection="1">
      <alignment horizontal="center" vertical="center" wrapText="1"/>
      <protection/>
    </xf>
    <xf numFmtId="0" fontId="3" fillId="24" borderId="25" xfId="64" applyFont="1" applyFill="1" applyBorder="1" applyAlignment="1" applyProtection="1">
      <alignment horizontal="left"/>
      <protection/>
    </xf>
    <xf numFmtId="0" fontId="3" fillId="24" borderId="25" xfId="64" applyFont="1" applyFill="1" applyBorder="1" applyAlignment="1" applyProtection="1">
      <alignment horizontal="center"/>
      <protection/>
    </xf>
    <xf numFmtId="0" fontId="3" fillId="11" borderId="25" xfId="64" applyFont="1" applyFill="1" applyBorder="1" applyAlignment="1" applyProtection="1">
      <alignment horizontal="center"/>
      <protection/>
    </xf>
    <xf numFmtId="43" fontId="3" fillId="24" borderId="25" xfId="43" applyFont="1" applyFill="1" applyBorder="1" applyAlignment="1" applyProtection="1">
      <alignment horizontal="center"/>
      <protection/>
    </xf>
    <xf numFmtId="43" fontId="3" fillId="24" borderId="15" xfId="43" applyFont="1" applyFill="1" applyBorder="1" applyAlignment="1" applyProtection="1">
      <alignment horizontal="center"/>
      <protection/>
    </xf>
    <xf numFmtId="0" fontId="3" fillId="11" borderId="15" xfId="64" applyFont="1" applyFill="1" applyBorder="1" applyAlignment="1" applyProtection="1">
      <alignment horizontal="center"/>
      <protection/>
    </xf>
    <xf numFmtId="0" fontId="3" fillId="11" borderId="20" xfId="64" applyFont="1" applyFill="1" applyBorder="1" applyAlignment="1" applyProtection="1">
      <alignment horizontal="left"/>
      <protection/>
    </xf>
    <xf numFmtId="43" fontId="3" fillId="24" borderId="8" xfId="43" applyFont="1" applyFill="1" applyBorder="1" applyAlignment="1" applyProtection="1">
      <alignment horizontal="center"/>
      <protection/>
    </xf>
    <xf numFmtId="0" fontId="3" fillId="11" borderId="8" xfId="64" applyFont="1" applyFill="1" applyBorder="1" applyAlignment="1" applyProtection="1">
      <alignment horizontal="center"/>
      <protection/>
    </xf>
    <xf numFmtId="43" fontId="3" fillId="24" borderId="8" xfId="43" applyFont="1" applyFill="1" applyBorder="1" applyAlignment="1" applyProtection="1">
      <alignment horizontal="right"/>
      <protection/>
    </xf>
    <xf numFmtId="0" fontId="3" fillId="24" borderId="15" xfId="64" applyFont="1" applyFill="1" applyBorder="1" applyAlignment="1" applyProtection="1" quotePrefix="1">
      <alignment horizontal="center"/>
      <protection/>
    </xf>
    <xf numFmtId="43" fontId="3" fillId="24" borderId="15" xfId="43" applyFont="1" applyFill="1" applyBorder="1" applyAlignment="1" applyProtection="1" quotePrefix="1">
      <alignment horizontal="center"/>
      <protection/>
    </xf>
    <xf numFmtId="43" fontId="3" fillId="24" borderId="0" xfId="43" applyFont="1" applyFill="1" applyBorder="1" applyAlignment="1" applyProtection="1">
      <alignment horizontal="center"/>
      <protection/>
    </xf>
    <xf numFmtId="0" fontId="3" fillId="25" borderId="16" xfId="64" applyFont="1" applyFill="1" applyBorder="1">
      <alignment/>
      <protection/>
    </xf>
    <xf numFmtId="0" fontId="3" fillId="11" borderId="0" xfId="64" applyFont="1" applyFill="1" applyBorder="1">
      <alignment/>
      <protection/>
    </xf>
    <xf numFmtId="0" fontId="3" fillId="11" borderId="20" xfId="64" applyFont="1" applyFill="1" applyBorder="1">
      <alignment/>
      <protection/>
    </xf>
    <xf numFmtId="0" fontId="3" fillId="24" borderId="20" xfId="64" applyFont="1" applyFill="1" applyBorder="1" applyAlignment="1" applyProtection="1">
      <alignment horizontal="left"/>
      <protection/>
    </xf>
    <xf numFmtId="0" fontId="17" fillId="24" borderId="0" xfId="64" applyFont="1" applyFill="1" applyBorder="1" applyAlignment="1" applyProtection="1">
      <alignment horizontal="left"/>
      <protection/>
    </xf>
    <xf numFmtId="0" fontId="17" fillId="11" borderId="0" xfId="64" applyFont="1" applyFill="1" applyBorder="1" applyAlignment="1" applyProtection="1">
      <alignment horizontal="left"/>
      <protection/>
    </xf>
    <xf numFmtId="0" fontId="17" fillId="24" borderId="0" xfId="64" applyFont="1" applyFill="1" applyBorder="1">
      <alignment/>
      <protection/>
    </xf>
    <xf numFmtId="0" fontId="3" fillId="24" borderId="16" xfId="64" applyFont="1" applyFill="1" applyBorder="1" applyAlignment="1">
      <alignment/>
      <protection/>
    </xf>
    <xf numFmtId="43" fontId="14" fillId="24" borderId="0" xfId="43" applyFont="1" applyFill="1" applyBorder="1" applyAlignment="1">
      <alignment horizontal="right"/>
    </xf>
    <xf numFmtId="43" fontId="3" fillId="24" borderId="0" xfId="43" applyFont="1" applyFill="1" applyBorder="1" applyAlignment="1" applyProtection="1">
      <alignment horizontal="center" vertical="center" wrapText="1"/>
      <protection/>
    </xf>
    <xf numFmtId="43" fontId="3" fillId="24" borderId="0" xfId="43" applyFont="1" applyFill="1" applyBorder="1" applyAlignment="1" applyProtection="1" quotePrefix="1">
      <alignment horizontal="right"/>
      <protection/>
    </xf>
    <xf numFmtId="43" fontId="3" fillId="24" borderId="0" xfId="43" applyFont="1" applyFill="1" applyBorder="1" applyAlignment="1" applyProtection="1">
      <alignment horizontal="right"/>
      <protection/>
    </xf>
    <xf numFmtId="43" fontId="14" fillId="24" borderId="0" xfId="43" applyFont="1" applyFill="1" applyBorder="1" applyAlignment="1">
      <alignment/>
    </xf>
    <xf numFmtId="43" fontId="3" fillId="24" borderId="0" xfId="43" applyFont="1" applyFill="1" applyBorder="1" applyAlignment="1" applyProtection="1" quotePrefix="1">
      <alignment horizontal="center"/>
      <protection/>
    </xf>
    <xf numFmtId="43" fontId="17" fillId="24" borderId="0" xfId="43" applyFont="1" applyFill="1" applyBorder="1" applyAlignment="1">
      <alignment/>
    </xf>
    <xf numFmtId="43" fontId="14" fillId="24" borderId="0" xfId="43" applyFont="1" applyFill="1" applyBorder="1" applyAlignment="1">
      <alignment horizontal="center"/>
    </xf>
    <xf numFmtId="43" fontId="3" fillId="24" borderId="0" xfId="43" applyFont="1" applyFill="1" applyBorder="1" applyAlignment="1">
      <alignment/>
    </xf>
    <xf numFmtId="43" fontId="14" fillId="25" borderId="20" xfId="43" applyFont="1" applyFill="1" applyBorder="1" applyAlignment="1">
      <alignment/>
    </xf>
    <xf numFmtId="43" fontId="3" fillId="24" borderId="23" xfId="43" applyFont="1" applyFill="1" applyBorder="1" applyAlignment="1" applyProtection="1">
      <alignment horizontal="center" vertical="center" wrapText="1"/>
      <protection/>
    </xf>
    <xf numFmtId="43" fontId="3" fillId="24" borderId="24" xfId="43" applyFont="1" applyFill="1" applyBorder="1" applyAlignment="1" quotePrefix="1">
      <alignment horizontal="center"/>
    </xf>
    <xf numFmtId="43" fontId="3" fillId="24" borderId="23" xfId="43" applyFont="1" applyFill="1" applyBorder="1" applyAlignment="1" quotePrefix="1">
      <alignment horizontal="center"/>
    </xf>
    <xf numFmtId="43" fontId="3" fillId="24" borderId="29" xfId="43" applyFont="1" applyFill="1" applyBorder="1" applyAlignment="1" applyProtection="1">
      <alignment/>
      <protection/>
    </xf>
    <xf numFmtId="43" fontId="3" fillId="24" borderId="30" xfId="43" applyFont="1" applyFill="1" applyBorder="1" applyAlignment="1" applyProtection="1">
      <alignment/>
      <protection/>
    </xf>
    <xf numFmtId="43" fontId="3" fillId="24" borderId="17" xfId="43" applyFont="1" applyFill="1" applyBorder="1" applyAlignment="1">
      <alignment/>
    </xf>
    <xf numFmtId="43" fontId="3" fillId="24" borderId="0" xfId="43" applyFont="1" applyFill="1" applyBorder="1" applyAlignment="1">
      <alignment/>
    </xf>
    <xf numFmtId="0" fontId="3" fillId="24" borderId="16" xfId="64" applyFont="1" applyFill="1" applyBorder="1" applyAlignment="1" applyProtection="1">
      <alignment horizontal="left"/>
      <protection/>
    </xf>
    <xf numFmtId="0" fontId="3" fillId="24" borderId="21" xfId="64" applyFont="1" applyFill="1" applyBorder="1" applyAlignment="1" applyProtection="1">
      <alignment horizontal="left"/>
      <protection/>
    </xf>
    <xf numFmtId="0" fontId="3" fillId="24" borderId="4" xfId="64" applyFont="1" applyFill="1" applyBorder="1" applyAlignment="1" applyProtection="1">
      <alignment horizontal="center"/>
      <protection/>
    </xf>
    <xf numFmtId="0" fontId="3" fillId="11" borderId="4" xfId="64" applyFont="1" applyFill="1" applyBorder="1" applyAlignment="1" applyProtection="1">
      <alignment horizontal="center"/>
      <protection/>
    </xf>
    <xf numFmtId="43" fontId="3" fillId="26" borderId="14" xfId="43" applyFont="1" applyFill="1" applyBorder="1" applyAlignment="1" applyProtection="1">
      <alignment/>
      <protection/>
    </xf>
    <xf numFmtId="43" fontId="3" fillId="11" borderId="14" xfId="43" applyFont="1" applyFill="1" applyBorder="1" applyAlignment="1" applyProtection="1">
      <alignment/>
      <protection/>
    </xf>
    <xf numFmtId="43" fontId="3" fillId="24" borderId="17" xfId="43" applyFont="1" applyFill="1" applyBorder="1" applyAlignment="1" applyProtection="1">
      <alignment horizontal="center"/>
      <protection/>
    </xf>
    <xf numFmtId="0" fontId="13" fillId="24" borderId="20" xfId="64" applyFont="1" applyFill="1" applyBorder="1" applyAlignment="1">
      <alignment/>
      <protection/>
    </xf>
    <xf numFmtId="0" fontId="3" fillId="24" borderId="20" xfId="64" applyFont="1" applyFill="1" applyBorder="1" applyAlignment="1">
      <alignment/>
      <protection/>
    </xf>
    <xf numFmtId="43" fontId="3" fillId="24" borderId="20" xfId="43" applyFont="1" applyFill="1" applyBorder="1" applyAlignment="1">
      <alignment/>
    </xf>
    <xf numFmtId="0" fontId="3" fillId="25" borderId="19" xfId="64" applyFont="1" applyFill="1" applyBorder="1">
      <alignment/>
      <protection/>
    </xf>
    <xf numFmtId="0" fontId="3" fillId="25" borderId="20" xfId="64" applyFont="1" applyFill="1" applyBorder="1">
      <alignment/>
      <protection/>
    </xf>
    <xf numFmtId="0" fontId="3" fillId="27" borderId="20" xfId="64" applyFont="1" applyFill="1" applyBorder="1">
      <alignment/>
      <protection/>
    </xf>
    <xf numFmtId="0" fontId="3" fillId="24" borderId="14" xfId="64" applyFont="1" applyFill="1" applyBorder="1" applyAlignment="1">
      <alignment/>
      <protection/>
    </xf>
    <xf numFmtId="43" fontId="14" fillId="24" borderId="14" xfId="43" applyFont="1" applyFill="1" applyBorder="1" applyAlignment="1">
      <alignment horizontal="center"/>
    </xf>
    <xf numFmtId="0" fontId="3" fillId="24" borderId="14" xfId="64" applyFont="1" applyFill="1" applyBorder="1" applyAlignment="1">
      <alignment horizontal="center"/>
      <protection/>
    </xf>
    <xf numFmtId="43" fontId="3" fillId="24" borderId="27" xfId="43" applyFont="1" applyFill="1" applyBorder="1" applyAlignment="1">
      <alignment/>
    </xf>
    <xf numFmtId="43" fontId="3" fillId="24" borderId="14" xfId="43" applyFont="1" applyFill="1" applyBorder="1" applyAlignment="1">
      <alignment/>
    </xf>
    <xf numFmtId="43" fontId="14" fillId="24" borderId="14" xfId="43" applyFont="1" applyFill="1" applyBorder="1" applyAlignment="1">
      <alignment/>
    </xf>
    <xf numFmtId="43" fontId="14" fillId="24" borderId="14" xfId="43" applyFont="1" applyFill="1" applyBorder="1" applyAlignment="1">
      <alignment horizontal="right"/>
    </xf>
    <xf numFmtId="43" fontId="3" fillId="24" borderId="14" xfId="43" applyFont="1" applyFill="1" applyBorder="1" applyAlignment="1" applyProtection="1">
      <alignment horizontal="center" vertical="center" wrapText="1"/>
      <protection/>
    </xf>
    <xf numFmtId="43" fontId="14" fillId="24" borderId="14" xfId="43" applyFont="1" applyFill="1" applyBorder="1" applyAlignment="1">
      <alignment/>
    </xf>
    <xf numFmtId="43" fontId="3" fillId="24" borderId="14" xfId="43" applyFont="1" applyFill="1" applyBorder="1" applyAlignment="1" applyProtection="1" quotePrefix="1">
      <alignment horizontal="center"/>
      <protection/>
    </xf>
    <xf numFmtId="43" fontId="17" fillId="24" borderId="14" xfId="43" applyFont="1" applyFill="1" applyBorder="1" applyAlignment="1">
      <alignment/>
    </xf>
    <xf numFmtId="43" fontId="3" fillId="26" borderId="14" xfId="43" applyFont="1" applyFill="1" applyBorder="1" applyAlignment="1" applyProtection="1" quotePrefix="1">
      <alignment horizontal="right"/>
      <protection/>
    </xf>
    <xf numFmtId="43" fontId="3" fillId="24" borderId="25" xfId="43" applyFont="1" applyFill="1" applyBorder="1" applyAlignment="1" applyProtection="1">
      <alignment/>
      <protection/>
    </xf>
    <xf numFmtId="0" fontId="3" fillId="24" borderId="15" xfId="64" applyFont="1" applyFill="1" applyBorder="1">
      <alignment/>
      <protection/>
    </xf>
    <xf numFmtId="39" fontId="3" fillId="24" borderId="15" xfId="64" applyNumberFormat="1" applyFont="1" applyFill="1" applyBorder="1">
      <alignment/>
      <protection/>
    </xf>
    <xf numFmtId="43" fontId="3" fillId="24" borderId="15" xfId="43" applyFont="1" applyFill="1" applyBorder="1" applyAlignment="1">
      <alignment/>
    </xf>
    <xf numFmtId="43" fontId="3" fillId="0" borderId="14" xfId="43" applyFont="1" applyFill="1" applyBorder="1" applyAlignment="1" applyProtection="1" quotePrefix="1">
      <alignment horizontal="right"/>
      <protection/>
    </xf>
    <xf numFmtId="171" fontId="3" fillId="24" borderId="15" xfId="64" applyNumberFormat="1" applyFont="1" applyFill="1" applyBorder="1">
      <alignment/>
      <protection/>
    </xf>
    <xf numFmtId="43" fontId="3" fillId="11" borderId="23" xfId="43" applyFont="1" applyFill="1" applyBorder="1" applyAlignment="1">
      <alignment/>
    </xf>
    <xf numFmtId="43" fontId="3" fillId="11" borderId="25" xfId="43" applyFont="1" applyFill="1" applyBorder="1" applyAlignment="1" applyProtection="1">
      <alignment horizontal="right"/>
      <protection/>
    </xf>
    <xf numFmtId="43" fontId="3" fillId="11" borderId="25" xfId="43" applyFont="1" applyFill="1" applyBorder="1" applyAlignment="1" applyProtection="1">
      <alignment/>
      <protection/>
    </xf>
    <xf numFmtId="0" fontId="3" fillId="11" borderId="14" xfId="64" applyFont="1" applyFill="1" applyBorder="1" applyAlignment="1" applyProtection="1" quotePrefix="1">
      <alignment horizontal="right"/>
      <protection/>
    </xf>
    <xf numFmtId="0" fontId="3" fillId="11" borderId="14" xfId="64" applyFont="1" applyFill="1" applyBorder="1" applyAlignment="1" applyProtection="1">
      <alignment horizontal="right"/>
      <protection/>
    </xf>
    <xf numFmtId="0" fontId="3" fillId="11" borderId="19" xfId="64" applyFont="1" applyFill="1" applyBorder="1" applyAlignment="1" applyProtection="1">
      <alignment horizontal="right"/>
      <protection/>
    </xf>
    <xf numFmtId="0" fontId="17" fillId="24" borderId="15" xfId="64" applyFont="1" applyFill="1" applyBorder="1" applyAlignment="1" applyProtection="1">
      <alignment horizontal="left"/>
      <protection/>
    </xf>
    <xf numFmtId="2" fontId="17" fillId="24" borderId="15" xfId="64" applyNumberFormat="1" applyFont="1" applyFill="1" applyBorder="1" applyProtection="1">
      <alignment/>
      <protection/>
    </xf>
    <xf numFmtId="43" fontId="3" fillId="11" borderId="0" xfId="43" applyFont="1" applyFill="1" applyBorder="1" applyAlignment="1" applyProtection="1">
      <alignment horizontal="right"/>
      <protection/>
    </xf>
    <xf numFmtId="43" fontId="3" fillId="11" borderId="27" xfId="43" applyFont="1" applyFill="1" applyBorder="1" applyAlignment="1" applyProtection="1">
      <alignment horizontal="right"/>
      <protection/>
    </xf>
    <xf numFmtId="43" fontId="3" fillId="24" borderId="15" xfId="64" applyNumberFormat="1" applyFont="1" applyFill="1" applyBorder="1" applyAlignment="1" applyProtection="1">
      <alignment horizontal="left"/>
      <protection/>
    </xf>
    <xf numFmtId="0" fontId="3" fillId="24" borderId="22" xfId="64" applyNumberFormat="1" applyFont="1" applyFill="1" applyBorder="1" applyAlignment="1" quotePrefix="1">
      <alignment horizontal="center"/>
      <protection/>
    </xf>
    <xf numFmtId="43" fontId="3" fillId="11" borderId="20" xfId="43" applyFont="1" applyFill="1" applyBorder="1" applyAlignment="1" applyProtection="1">
      <alignment horizontal="right"/>
      <protection/>
    </xf>
    <xf numFmtId="2" fontId="14" fillId="24" borderId="15" xfId="64" applyNumberFormat="1" applyFont="1" applyFill="1" applyBorder="1" applyProtection="1">
      <alignment/>
      <protection/>
    </xf>
    <xf numFmtId="0" fontId="14" fillId="24" borderId="15" xfId="64" applyFont="1" applyFill="1" applyBorder="1" applyAlignment="1" applyProtection="1">
      <alignment horizontal="left"/>
      <protection/>
    </xf>
    <xf numFmtId="0" fontId="14" fillId="24" borderId="15" xfId="64" applyFont="1" applyFill="1" applyBorder="1" applyAlignment="1" applyProtection="1" quotePrefix="1">
      <alignment horizontal="right"/>
      <protection/>
    </xf>
    <xf numFmtId="43" fontId="14" fillId="24" borderId="14" xfId="43" applyFont="1" applyFill="1" applyBorder="1" applyAlignment="1" applyProtection="1">
      <alignment/>
      <protection/>
    </xf>
    <xf numFmtId="2" fontId="14" fillId="24" borderId="15" xfId="64" applyNumberFormat="1" applyFont="1" applyFill="1" applyBorder="1" applyAlignment="1" applyProtection="1">
      <alignment horizontal="right"/>
      <protection/>
    </xf>
    <xf numFmtId="0" fontId="14" fillId="24" borderId="15" xfId="64" applyFont="1" applyFill="1" applyBorder="1" applyAlignment="1" applyProtection="1" quotePrefix="1">
      <alignment horizontal="left"/>
      <protection/>
    </xf>
    <xf numFmtId="0" fontId="14" fillId="24" borderId="15" xfId="64" applyFont="1" applyFill="1" applyBorder="1" applyAlignment="1" applyProtection="1">
      <alignment horizontal="right"/>
      <protection/>
    </xf>
    <xf numFmtId="0" fontId="2" fillId="24" borderId="0" xfId="63" applyFill="1">
      <alignment/>
      <protection/>
    </xf>
    <xf numFmtId="0" fontId="2" fillId="24" borderId="25" xfId="63" applyFill="1" applyBorder="1">
      <alignment/>
      <protection/>
    </xf>
    <xf numFmtId="43" fontId="35" fillId="24" borderId="15" xfId="43" applyFont="1" applyFill="1" applyBorder="1" applyAlignment="1">
      <alignment/>
    </xf>
    <xf numFmtId="1" fontId="2" fillId="24" borderId="15" xfId="63" applyNumberFormat="1" applyFill="1" applyBorder="1">
      <alignment/>
      <protection/>
    </xf>
    <xf numFmtId="1" fontId="35" fillId="24" borderId="15" xfId="63" applyNumberFormat="1" applyFont="1" applyFill="1" applyBorder="1">
      <alignment/>
      <protection/>
    </xf>
    <xf numFmtId="0" fontId="35" fillId="24" borderId="15" xfId="63" applyFont="1" applyFill="1" applyBorder="1">
      <alignment/>
      <protection/>
    </xf>
    <xf numFmtId="43" fontId="0" fillId="24" borderId="15" xfId="43" applyFont="1" applyFill="1" applyBorder="1" applyAlignment="1">
      <alignment/>
    </xf>
    <xf numFmtId="0" fontId="2" fillId="24" borderId="15" xfId="63" applyFill="1" applyBorder="1">
      <alignment/>
      <protection/>
    </xf>
    <xf numFmtId="43" fontId="0" fillId="24" borderId="25" xfId="43" applyFont="1" applyFill="1" applyBorder="1" applyAlignment="1">
      <alignment/>
    </xf>
    <xf numFmtId="43" fontId="2" fillId="24" borderId="15" xfId="43" applyFont="1" applyFill="1" applyBorder="1" applyAlignment="1">
      <alignment/>
    </xf>
    <xf numFmtId="43" fontId="2" fillId="24" borderId="0" xfId="63" applyNumberFormat="1" applyFill="1">
      <alignment/>
      <protection/>
    </xf>
    <xf numFmtId="0" fontId="2" fillId="24" borderId="15" xfId="63" applyFont="1" applyFill="1" applyBorder="1">
      <alignment/>
      <protection/>
    </xf>
    <xf numFmtId="1" fontId="35" fillId="24" borderId="24" xfId="63" applyNumberFormat="1" applyFont="1" applyFill="1" applyBorder="1">
      <alignment/>
      <protection/>
    </xf>
    <xf numFmtId="0" fontId="2" fillId="24" borderId="24" xfId="63" applyFill="1" applyBorder="1">
      <alignment/>
      <protection/>
    </xf>
    <xf numFmtId="0" fontId="2" fillId="24" borderId="17" xfId="63" applyFill="1" applyBorder="1" applyAlignment="1">
      <alignment horizontal="center"/>
      <protection/>
    </xf>
    <xf numFmtId="0" fontId="2" fillId="24" borderId="8" xfId="63" applyFill="1" applyBorder="1">
      <alignment/>
      <protection/>
    </xf>
    <xf numFmtId="0" fontId="2" fillId="24" borderId="27" xfId="63" applyFill="1" applyBorder="1">
      <alignment/>
      <protection/>
    </xf>
    <xf numFmtId="0" fontId="2" fillId="24" borderId="20" xfId="63" applyFill="1" applyBorder="1">
      <alignment/>
      <protection/>
    </xf>
    <xf numFmtId="0" fontId="2" fillId="24" borderId="19" xfId="63" applyFill="1" applyBorder="1">
      <alignment/>
      <protection/>
    </xf>
    <xf numFmtId="0" fontId="37" fillId="24" borderId="0" xfId="63" applyFont="1" applyFill="1">
      <alignment/>
      <protection/>
    </xf>
    <xf numFmtId="43" fontId="3" fillId="24" borderId="31" xfId="43" applyFont="1" applyFill="1" applyBorder="1" applyAlignment="1" applyProtection="1">
      <alignment horizontal="center"/>
      <protection/>
    </xf>
    <xf numFmtId="43" fontId="3" fillId="24" borderId="31" xfId="43" applyFont="1" applyFill="1" applyBorder="1" applyAlignment="1" applyProtection="1" quotePrefix="1">
      <alignment horizontal="right"/>
      <protection/>
    </xf>
    <xf numFmtId="0" fontId="3" fillId="11" borderId="32" xfId="64" applyFont="1" applyFill="1" applyBorder="1" applyAlignment="1" applyProtection="1">
      <alignment horizontal="left"/>
      <protection/>
    </xf>
    <xf numFmtId="0" fontId="3" fillId="24" borderId="33" xfId="64" applyFont="1" applyFill="1" applyBorder="1" applyAlignment="1" applyProtection="1">
      <alignment horizontal="center"/>
      <protection/>
    </xf>
    <xf numFmtId="0" fontId="3" fillId="11" borderId="34" xfId="64" applyFont="1" applyFill="1" applyBorder="1" applyAlignment="1" applyProtection="1">
      <alignment horizontal="left"/>
      <protection/>
    </xf>
    <xf numFmtId="0" fontId="3" fillId="24" borderId="35" xfId="64" applyFont="1" applyFill="1" applyBorder="1" applyAlignment="1" applyProtection="1">
      <alignment horizontal="center"/>
      <protection/>
    </xf>
    <xf numFmtId="0" fontId="3" fillId="24" borderId="35" xfId="64" applyFont="1" applyFill="1" applyBorder="1" applyAlignment="1">
      <alignment horizontal="center"/>
      <protection/>
    </xf>
    <xf numFmtId="0" fontId="3" fillId="24" borderId="33" xfId="64" applyFont="1" applyFill="1" applyBorder="1" applyAlignment="1">
      <alignment horizontal="center"/>
      <protection/>
    </xf>
    <xf numFmtId="0" fontId="3" fillId="24" borderId="33" xfId="64" applyFont="1" applyFill="1" applyBorder="1">
      <alignment/>
      <protection/>
    </xf>
    <xf numFmtId="0" fontId="3" fillId="24" borderId="36" xfId="64" applyFont="1" applyFill="1" applyBorder="1" applyAlignment="1">
      <alignment horizontal="center"/>
      <protection/>
    </xf>
    <xf numFmtId="0" fontId="3" fillId="24" borderId="37" xfId="64" applyFont="1" applyFill="1" applyBorder="1" applyAlignment="1">
      <alignment horizontal="center"/>
      <protection/>
    </xf>
    <xf numFmtId="0" fontId="3" fillId="24" borderId="38" xfId="64" applyFont="1" applyFill="1" applyBorder="1">
      <alignment/>
      <protection/>
    </xf>
    <xf numFmtId="0" fontId="3" fillId="24" borderId="0" xfId="64" applyFont="1" applyFill="1" applyBorder="1" applyAlignment="1" applyProtection="1">
      <alignment horizontal="center" vertical="center"/>
      <protection/>
    </xf>
    <xf numFmtId="0" fontId="3" fillId="24" borderId="39" xfId="64" applyFont="1" applyFill="1" applyBorder="1" applyAlignment="1" quotePrefix="1">
      <alignment horizontal="center"/>
      <protection/>
    </xf>
    <xf numFmtId="0" fontId="3" fillId="24" borderId="0" xfId="64" applyFont="1" applyFill="1" applyBorder="1" applyAlignment="1" quotePrefix="1">
      <alignment horizontal="left"/>
      <protection/>
    </xf>
    <xf numFmtId="0" fontId="3" fillId="24" borderId="0" xfId="64" applyFont="1" applyFill="1" applyBorder="1" applyAlignment="1">
      <alignment horizontal="left"/>
      <protection/>
    </xf>
    <xf numFmtId="0" fontId="3" fillId="25" borderId="40" xfId="64" applyFont="1" applyFill="1" applyBorder="1">
      <alignment/>
      <protection/>
    </xf>
    <xf numFmtId="0" fontId="3" fillId="24" borderId="41" xfId="64" applyFont="1" applyFill="1" applyBorder="1" applyAlignment="1" applyProtection="1">
      <alignment horizontal="left"/>
      <protection/>
    </xf>
    <xf numFmtId="0" fontId="3" fillId="24" borderId="34" xfId="64" applyFont="1" applyFill="1" applyBorder="1">
      <alignment/>
      <protection/>
    </xf>
    <xf numFmtId="0" fontId="3" fillId="24" borderId="33" xfId="64" applyFont="1" applyFill="1" applyBorder="1" applyAlignment="1">
      <alignment/>
      <protection/>
    </xf>
    <xf numFmtId="0" fontId="3" fillId="24" borderId="42" xfId="64" applyFont="1" applyFill="1" applyBorder="1">
      <alignment/>
      <protection/>
    </xf>
    <xf numFmtId="0" fontId="3" fillId="24" borderId="42" xfId="64" applyFont="1" applyFill="1" applyBorder="1" applyAlignment="1" applyProtection="1">
      <alignment horizontal="center"/>
      <protection/>
    </xf>
    <xf numFmtId="0" fontId="3" fillId="24" borderId="42" xfId="64" applyFont="1" applyFill="1" applyBorder="1" applyAlignment="1" quotePrefix="1">
      <alignment horizontal="center"/>
      <protection/>
    </xf>
    <xf numFmtId="1" fontId="3" fillId="24" borderId="42" xfId="64" applyNumberFormat="1" applyFont="1" applyFill="1" applyBorder="1" applyProtection="1">
      <alignment/>
      <protection/>
    </xf>
    <xf numFmtId="1" fontId="3" fillId="24" borderId="42" xfId="64" applyNumberFormat="1" applyFont="1" applyFill="1" applyBorder="1" applyAlignment="1" applyProtection="1" quotePrefix="1">
      <alignment horizontal="right"/>
      <protection/>
    </xf>
    <xf numFmtId="43" fontId="3" fillId="24" borderId="42" xfId="43" applyFont="1" applyFill="1" applyBorder="1" applyAlignment="1" applyProtection="1">
      <alignment/>
      <protection/>
    </xf>
    <xf numFmtId="1" fontId="3" fillId="0" borderId="42" xfId="64" applyNumberFormat="1" applyFont="1" applyFill="1" applyBorder="1" applyProtection="1">
      <alignment/>
      <protection/>
    </xf>
    <xf numFmtId="2" fontId="3" fillId="24" borderId="42" xfId="64" applyNumberFormat="1" applyFont="1" applyFill="1" applyBorder="1" applyProtection="1">
      <alignment/>
      <protection/>
    </xf>
    <xf numFmtId="0" fontId="3" fillId="24" borderId="42" xfId="64" applyFont="1" applyFill="1" applyBorder="1" applyAlignment="1">
      <alignment/>
      <protection/>
    </xf>
    <xf numFmtId="0" fontId="3" fillId="24" borderId="42" xfId="64" applyFont="1" applyFill="1" applyBorder="1" applyAlignment="1">
      <alignment horizontal="center"/>
      <protection/>
    </xf>
    <xf numFmtId="0" fontId="3" fillId="24" borderId="43" xfId="64" applyFont="1" applyFill="1" applyBorder="1" applyAlignment="1" quotePrefix="1">
      <alignment horizontal="left"/>
      <protection/>
    </xf>
    <xf numFmtId="0" fontId="3" fillId="11" borderId="44" xfId="64" applyFont="1" applyFill="1" applyBorder="1" applyAlignment="1" applyProtection="1">
      <alignment horizontal="center" vertical="center"/>
      <protection/>
    </xf>
    <xf numFmtId="0" fontId="3" fillId="24" borderId="45" xfId="64" applyFont="1" applyFill="1" applyBorder="1" applyAlignment="1" applyProtection="1">
      <alignment horizontal="center" vertical="center"/>
      <protection/>
    </xf>
    <xf numFmtId="0" fontId="3" fillId="24" borderId="46" xfId="64" applyFont="1" applyFill="1" applyBorder="1" applyAlignment="1" applyProtection="1">
      <alignment horizontal="center"/>
      <protection/>
    </xf>
    <xf numFmtId="0" fontId="3" fillId="24" borderId="47" xfId="64" applyFont="1" applyFill="1" applyBorder="1" applyAlignment="1" applyProtection="1">
      <alignment horizontal="center"/>
      <protection/>
    </xf>
    <xf numFmtId="0" fontId="3" fillId="24" borderId="48" xfId="64" applyFont="1" applyFill="1" applyBorder="1" applyAlignment="1" quotePrefix="1">
      <alignment horizontal="center"/>
      <protection/>
    </xf>
    <xf numFmtId="0" fontId="3" fillId="24" borderId="47" xfId="64" applyFont="1" applyFill="1" applyBorder="1" applyAlignment="1" quotePrefix="1">
      <alignment horizontal="center"/>
      <protection/>
    </xf>
    <xf numFmtId="0" fontId="3" fillId="24" borderId="49" xfId="64" applyFont="1" applyFill="1" applyBorder="1" applyAlignment="1" applyProtection="1" quotePrefix="1">
      <alignment horizontal="center"/>
      <protection/>
    </xf>
    <xf numFmtId="43" fontId="3" fillId="24" borderId="46" xfId="43" applyFont="1" applyFill="1" applyBorder="1" applyAlignment="1">
      <alignment/>
    </xf>
    <xf numFmtId="0" fontId="3" fillId="24" borderId="45" xfId="64" applyFont="1" applyFill="1" applyBorder="1" applyAlignment="1" applyProtection="1" quotePrefix="1">
      <alignment horizontal="center"/>
      <protection/>
    </xf>
    <xf numFmtId="43" fontId="3" fillId="24" borderId="50" xfId="43" applyFont="1" applyFill="1" applyBorder="1" applyAlignment="1">
      <alignment/>
    </xf>
    <xf numFmtId="0" fontId="3" fillId="24" borderId="45" xfId="64" applyFont="1" applyFill="1" applyBorder="1" applyAlignment="1">
      <alignment horizontal="center"/>
      <protection/>
    </xf>
    <xf numFmtId="0" fontId="3" fillId="24" borderId="45" xfId="64" applyFont="1" applyFill="1" applyBorder="1" applyAlignment="1" quotePrefix="1">
      <alignment horizontal="center"/>
      <protection/>
    </xf>
    <xf numFmtId="0" fontId="3" fillId="24" borderId="46" xfId="64" applyFont="1" applyFill="1" applyBorder="1">
      <alignment/>
      <protection/>
    </xf>
    <xf numFmtId="39" fontId="3" fillId="24" borderId="46" xfId="64" applyNumberFormat="1" applyFont="1" applyFill="1" applyBorder="1">
      <alignment/>
      <protection/>
    </xf>
    <xf numFmtId="43" fontId="3" fillId="24" borderId="46" xfId="43" applyFont="1" applyFill="1" applyBorder="1" applyAlignment="1">
      <alignment/>
    </xf>
    <xf numFmtId="0" fontId="3" fillId="24" borderId="45" xfId="64" applyFont="1" applyFill="1" applyBorder="1" applyAlignment="1" applyProtection="1">
      <alignment horizontal="center"/>
      <protection/>
    </xf>
    <xf numFmtId="0" fontId="13" fillId="24" borderId="45" xfId="64" applyFont="1" applyFill="1" applyBorder="1" applyAlignment="1" applyProtection="1">
      <alignment horizontal="center"/>
      <protection/>
    </xf>
    <xf numFmtId="43" fontId="3" fillId="24" borderId="46" xfId="43" applyFont="1" applyFill="1" applyBorder="1" applyAlignment="1" applyProtection="1">
      <alignment/>
      <protection/>
    </xf>
    <xf numFmtId="43" fontId="3" fillId="24" borderId="51" xfId="43" applyFont="1" applyFill="1" applyBorder="1" applyAlignment="1" applyProtection="1" quotePrefix="1">
      <alignment horizontal="right"/>
      <protection/>
    </xf>
    <xf numFmtId="43" fontId="3" fillId="24" borderId="51" xfId="43" applyFont="1" applyFill="1" applyBorder="1" applyAlignment="1" applyProtection="1">
      <alignment/>
      <protection/>
    </xf>
    <xf numFmtId="43" fontId="3" fillId="24" borderId="46" xfId="43" applyFont="1" applyFill="1" applyBorder="1" applyAlignment="1" applyProtection="1" quotePrefix="1">
      <alignment horizontal="right"/>
      <protection/>
    </xf>
    <xf numFmtId="0" fontId="3" fillId="24" borderId="46" xfId="64" applyFont="1" applyFill="1" applyBorder="1">
      <alignment/>
      <protection/>
    </xf>
    <xf numFmtId="43" fontId="3" fillId="24" borderId="46" xfId="43" applyFont="1" applyFill="1" applyBorder="1" applyAlignment="1" applyProtection="1">
      <alignment horizontal="left"/>
      <protection/>
    </xf>
    <xf numFmtId="0" fontId="17" fillId="24" borderId="46" xfId="64" applyFont="1" applyFill="1" applyBorder="1">
      <alignment/>
      <protection/>
    </xf>
    <xf numFmtId="2" fontId="14" fillId="24" borderId="46" xfId="64" applyNumberFormat="1" applyFont="1" applyFill="1" applyBorder="1" applyProtection="1">
      <alignment/>
      <protection/>
    </xf>
    <xf numFmtId="0" fontId="14" fillId="24" borderId="46" xfId="64" applyFont="1" applyFill="1" applyBorder="1">
      <alignment/>
      <protection/>
    </xf>
    <xf numFmtId="0" fontId="14" fillId="24" borderId="46" xfId="64" applyFont="1" applyFill="1" applyBorder="1" applyAlignment="1" applyProtection="1" quotePrefix="1">
      <alignment horizontal="right"/>
      <protection/>
    </xf>
    <xf numFmtId="43" fontId="14" fillId="24" borderId="51" xfId="43" applyFont="1" applyFill="1" applyBorder="1" applyAlignment="1" applyProtection="1">
      <alignment/>
      <protection/>
    </xf>
    <xf numFmtId="2" fontId="14" fillId="24" borderId="46" xfId="64" applyNumberFormat="1" applyFont="1" applyFill="1" applyBorder="1" applyAlignment="1" applyProtection="1">
      <alignment horizontal="right"/>
      <protection/>
    </xf>
    <xf numFmtId="0" fontId="14" fillId="24" borderId="46" xfId="64" applyFont="1" applyFill="1" applyBorder="1" applyAlignment="1" applyProtection="1">
      <alignment horizontal="right"/>
      <protection/>
    </xf>
    <xf numFmtId="0" fontId="14" fillId="24" borderId="46" xfId="64" applyFont="1" applyFill="1" applyBorder="1" applyAlignment="1" applyProtection="1" quotePrefix="1">
      <alignment horizontal="left"/>
      <protection/>
    </xf>
    <xf numFmtId="0" fontId="3" fillId="24" borderId="52" xfId="64" applyFont="1" applyFill="1" applyBorder="1" applyAlignment="1" applyProtection="1">
      <alignment horizontal="center"/>
      <protection/>
    </xf>
    <xf numFmtId="0" fontId="15" fillId="24" borderId="53" xfId="64" applyFont="1" applyFill="1" applyBorder="1" applyAlignment="1">
      <alignment horizontal="left"/>
      <protection/>
    </xf>
    <xf numFmtId="0" fontId="3" fillId="24" borderId="54" xfId="64" applyFont="1" applyFill="1" applyBorder="1" applyAlignment="1">
      <alignment horizontal="center"/>
      <protection/>
    </xf>
    <xf numFmtId="0" fontId="3" fillId="24" borderId="54" xfId="64" applyFont="1" applyFill="1" applyBorder="1" applyAlignment="1">
      <alignment/>
      <protection/>
    </xf>
    <xf numFmtId="0" fontId="3" fillId="24" borderId="54" xfId="64" applyFont="1" applyFill="1" applyBorder="1">
      <alignment/>
      <protection/>
    </xf>
    <xf numFmtId="0" fontId="3" fillId="24" borderId="45" xfId="64" applyFont="1" applyFill="1" applyBorder="1" applyAlignment="1" quotePrefix="1">
      <alignment horizontal="left"/>
      <protection/>
    </xf>
    <xf numFmtId="0" fontId="18" fillId="24" borderId="54" xfId="64" applyFont="1" applyFill="1" applyBorder="1" applyAlignment="1" applyProtection="1">
      <alignment horizontal="center"/>
      <protection/>
    </xf>
    <xf numFmtId="0" fontId="3" fillId="24" borderId="55" xfId="64" applyFont="1" applyFill="1" applyBorder="1" applyAlignment="1" quotePrefix="1">
      <alignment horizontal="left"/>
      <protection/>
    </xf>
    <xf numFmtId="0" fontId="3" fillId="24" borderId="54" xfId="64" applyFont="1" applyFill="1" applyBorder="1" applyAlignment="1" applyProtection="1">
      <alignment horizontal="center"/>
      <protection/>
    </xf>
    <xf numFmtId="0" fontId="3" fillId="24" borderId="56" xfId="64" applyFont="1" applyFill="1" applyBorder="1" applyAlignment="1" applyProtection="1">
      <alignment horizontal="center"/>
      <protection/>
    </xf>
    <xf numFmtId="43" fontId="3" fillId="24" borderId="57" xfId="43" applyFont="1" applyFill="1" applyBorder="1" applyAlignment="1" applyProtection="1">
      <alignment horizontal="right"/>
      <protection/>
    </xf>
    <xf numFmtId="43" fontId="3" fillId="24" borderId="46" xfId="43" applyFont="1" applyFill="1" applyBorder="1" applyAlignment="1" applyProtection="1">
      <alignment horizontal="right"/>
      <protection/>
    </xf>
    <xf numFmtId="43" fontId="3" fillId="24" borderId="47" xfId="43" applyFont="1" applyFill="1" applyBorder="1" applyAlignment="1" applyProtection="1">
      <alignment horizontal="center"/>
      <protection/>
    </xf>
    <xf numFmtId="0" fontId="17" fillId="24" borderId="54" xfId="64" applyFont="1" applyFill="1" applyBorder="1">
      <alignment/>
      <protection/>
    </xf>
    <xf numFmtId="0" fontId="3" fillId="24" borderId="45" xfId="64" applyFont="1" applyFill="1" applyBorder="1" applyAlignment="1">
      <alignment horizontal="left"/>
      <protection/>
    </xf>
    <xf numFmtId="0" fontId="3" fillId="25" borderId="45" xfId="64" applyFont="1" applyFill="1" applyBorder="1">
      <alignment/>
      <protection/>
    </xf>
    <xf numFmtId="0" fontId="3" fillId="24" borderId="58" xfId="64" applyFont="1" applyFill="1" applyBorder="1">
      <alignment/>
      <protection/>
    </xf>
    <xf numFmtId="0" fontId="3" fillId="24" borderId="59" xfId="64" applyFont="1" applyFill="1" applyBorder="1">
      <alignment/>
      <protection/>
    </xf>
    <xf numFmtId="0" fontId="3" fillId="11" borderId="59" xfId="64" applyFont="1" applyFill="1" applyBorder="1">
      <alignment/>
      <protection/>
    </xf>
    <xf numFmtId="179" fontId="3" fillId="24" borderId="33" xfId="64" applyNumberFormat="1" applyFont="1" applyFill="1" applyBorder="1" applyAlignment="1">
      <alignment horizontal="right"/>
      <protection/>
    </xf>
    <xf numFmtId="0" fontId="13" fillId="11" borderId="0" xfId="64" applyFont="1" applyFill="1" applyBorder="1" applyAlignment="1" applyProtection="1">
      <alignment horizontal="left"/>
      <protection/>
    </xf>
    <xf numFmtId="2" fontId="3" fillId="24" borderId="33" xfId="64" applyNumberFormat="1" applyFont="1" applyFill="1" applyBorder="1" applyAlignment="1" applyProtection="1">
      <alignment horizontal="right"/>
      <protection/>
    </xf>
    <xf numFmtId="2" fontId="3" fillId="24" borderId="33" xfId="64" applyNumberFormat="1" applyFont="1" applyFill="1" applyBorder="1" applyAlignment="1">
      <alignment horizontal="right"/>
      <protection/>
    </xf>
    <xf numFmtId="2" fontId="3" fillId="24" borderId="38" xfId="64" applyNumberFormat="1" applyFont="1" applyFill="1" applyBorder="1" applyAlignment="1">
      <alignment horizontal="right"/>
      <protection/>
    </xf>
    <xf numFmtId="2" fontId="3" fillId="24" borderId="54" xfId="64" applyNumberFormat="1" applyFont="1" applyFill="1" applyBorder="1" applyAlignment="1">
      <alignment horizontal="right"/>
      <protection/>
    </xf>
    <xf numFmtId="2" fontId="3" fillId="24" borderId="35" xfId="64" applyNumberFormat="1" applyFont="1" applyFill="1" applyBorder="1" applyAlignment="1" applyProtection="1">
      <alignment horizontal="right"/>
      <protection/>
    </xf>
    <xf numFmtId="2" fontId="3" fillId="24" borderId="37" xfId="64" applyNumberFormat="1" applyFont="1" applyFill="1" applyBorder="1" applyAlignment="1">
      <alignment horizontal="right"/>
      <protection/>
    </xf>
    <xf numFmtId="2" fontId="13" fillId="24" borderId="33" xfId="64" applyNumberFormat="1" applyFont="1" applyFill="1" applyBorder="1" applyAlignment="1" applyProtection="1">
      <alignment horizontal="right"/>
      <protection/>
    </xf>
    <xf numFmtId="2" fontId="13" fillId="24" borderId="33" xfId="64" applyNumberFormat="1" applyFont="1" applyFill="1" applyBorder="1" applyAlignment="1">
      <alignment horizontal="right"/>
      <protection/>
    </xf>
    <xf numFmtId="2" fontId="13" fillId="24" borderId="38" xfId="64" applyNumberFormat="1" applyFont="1" applyFill="1" applyBorder="1" applyAlignment="1">
      <alignment horizontal="right"/>
      <protection/>
    </xf>
    <xf numFmtId="2" fontId="3" fillId="24" borderId="38" xfId="64" applyNumberFormat="1" applyFont="1" applyFill="1" applyBorder="1" applyAlignment="1" quotePrefix="1">
      <alignment horizontal="right"/>
      <protection/>
    </xf>
    <xf numFmtId="2" fontId="13" fillId="24" borderId="35" xfId="64" applyNumberFormat="1" applyFont="1" applyFill="1" applyBorder="1" applyAlignment="1">
      <alignment horizontal="right"/>
      <protection/>
    </xf>
    <xf numFmtId="43" fontId="3" fillId="11" borderId="0" xfId="43" applyFont="1" applyFill="1" applyBorder="1" applyAlignment="1" applyProtection="1" quotePrefix="1">
      <alignment horizontal="left"/>
      <protection/>
    </xf>
    <xf numFmtId="0" fontId="3" fillId="24" borderId="60" xfId="64" applyFont="1" applyFill="1" applyBorder="1">
      <alignment/>
      <protection/>
    </xf>
    <xf numFmtId="0" fontId="3" fillId="24" borderId="61" xfId="64" applyFont="1" applyFill="1" applyBorder="1" applyAlignment="1" applyProtection="1" quotePrefix="1">
      <alignment horizontal="left"/>
      <protection/>
    </xf>
    <xf numFmtId="43" fontId="3" fillId="11" borderId="61" xfId="43" applyFont="1" applyFill="1" applyBorder="1" applyAlignment="1" applyProtection="1" quotePrefix="1">
      <alignment horizontal="left"/>
      <protection/>
    </xf>
    <xf numFmtId="0" fontId="3" fillId="24" borderId="38" xfId="64" applyFont="1" applyFill="1" applyBorder="1" applyAlignment="1" applyProtection="1" quotePrefix="1">
      <alignment horizontal="left"/>
      <protection/>
    </xf>
    <xf numFmtId="0" fontId="3" fillId="24" borderId="62" xfId="64" applyFont="1" applyFill="1" applyBorder="1">
      <alignment/>
      <protection/>
    </xf>
    <xf numFmtId="0" fontId="3" fillId="24" borderId="63" xfId="64" applyFont="1" applyFill="1" applyBorder="1" applyAlignment="1" applyProtection="1" quotePrefix="1">
      <alignment horizontal="center"/>
      <protection/>
    </xf>
    <xf numFmtId="43" fontId="3" fillId="11" borderId="27" xfId="43" applyFont="1" applyFill="1" applyBorder="1" applyAlignment="1" applyProtection="1">
      <alignment horizontal="left"/>
      <protection/>
    </xf>
    <xf numFmtId="171" fontId="14" fillId="24" borderId="25" xfId="64" applyNumberFormat="1" applyFont="1" applyFill="1" applyBorder="1" applyAlignment="1" applyProtection="1">
      <alignment horizontal="right"/>
      <protection/>
    </xf>
    <xf numFmtId="171" fontId="14" fillId="24" borderId="50" xfId="64" applyNumberFormat="1" applyFont="1" applyFill="1" applyBorder="1" applyAlignment="1" applyProtection="1">
      <alignment horizontal="right"/>
      <protection/>
    </xf>
    <xf numFmtId="0" fontId="3" fillId="24" borderId="60" xfId="64" applyFont="1" applyFill="1" applyBorder="1" applyAlignment="1" quotePrefix="1">
      <alignment horizontal="left"/>
      <protection/>
    </xf>
    <xf numFmtId="0" fontId="13" fillId="24" borderId="64" xfId="64" applyFont="1" applyFill="1" applyBorder="1" applyAlignment="1" applyProtection="1">
      <alignment horizontal="center"/>
      <protection/>
    </xf>
    <xf numFmtId="0" fontId="13" fillId="24" borderId="42" xfId="64" applyFont="1" applyFill="1" applyBorder="1" applyAlignment="1" applyProtection="1">
      <alignment horizontal="center"/>
      <protection/>
    </xf>
    <xf numFmtId="0" fontId="13" fillId="24" borderId="42" xfId="64" applyFont="1" applyFill="1" applyBorder="1" applyAlignment="1" applyProtection="1">
      <alignment/>
      <protection/>
    </xf>
    <xf numFmtId="0" fontId="13" fillId="24" borderId="54" xfId="64" applyFont="1" applyFill="1" applyBorder="1" applyAlignment="1" applyProtection="1">
      <alignment horizontal="center"/>
      <protection/>
    </xf>
    <xf numFmtId="0" fontId="3" fillId="24" borderId="65" xfId="64" applyFont="1" applyFill="1" applyBorder="1" applyAlignment="1" applyProtection="1">
      <alignment horizontal="left"/>
      <protection/>
    </xf>
    <xf numFmtId="0" fontId="15" fillId="24" borderId="66" xfId="64" applyFont="1" applyFill="1" applyBorder="1" applyAlignment="1">
      <alignment horizontal="left"/>
      <protection/>
    </xf>
    <xf numFmtId="2" fontId="13" fillId="24" borderId="54" xfId="64" applyNumberFormat="1" applyFont="1" applyFill="1" applyBorder="1" applyAlignment="1">
      <alignment horizontal="right"/>
      <protection/>
    </xf>
    <xf numFmtId="2" fontId="13" fillId="24" borderId="56" xfId="64" applyNumberFormat="1" applyFont="1" applyFill="1" applyBorder="1" applyAlignment="1">
      <alignment horizontal="right"/>
      <protection/>
    </xf>
    <xf numFmtId="0" fontId="3" fillId="24" borderId="67" xfId="64" applyFont="1" applyFill="1" applyBorder="1" applyAlignment="1" quotePrefix="1">
      <alignment horizontal="left"/>
      <protection/>
    </xf>
    <xf numFmtId="0" fontId="13" fillId="24" borderId="68" xfId="64" applyFont="1" applyFill="1" applyBorder="1" applyAlignment="1" applyProtection="1">
      <alignment horizontal="center"/>
      <protection/>
    </xf>
    <xf numFmtId="0" fontId="15" fillId="24" borderId="37" xfId="64" applyFont="1" applyFill="1" applyBorder="1" applyAlignment="1">
      <alignment horizontal="center"/>
      <protection/>
    </xf>
    <xf numFmtId="0" fontId="13" fillId="24" borderId="36" xfId="64" applyFont="1" applyFill="1" applyBorder="1" applyAlignment="1" applyProtection="1">
      <alignment horizontal="left"/>
      <protection/>
    </xf>
    <xf numFmtId="0" fontId="3" fillId="24" borderId="38" xfId="64" applyFont="1" applyFill="1" applyBorder="1" applyAlignment="1" applyProtection="1" quotePrefix="1">
      <alignment horizontal="left"/>
      <protection/>
    </xf>
    <xf numFmtId="0" fontId="3" fillId="24" borderId="38" xfId="64" applyFont="1" applyFill="1" applyBorder="1" applyAlignment="1" applyProtection="1">
      <alignment horizontal="left"/>
      <protection/>
    </xf>
    <xf numFmtId="0" fontId="13" fillId="24" borderId="38" xfId="64" applyFont="1" applyFill="1" applyBorder="1" applyAlignment="1" applyProtection="1">
      <alignment horizontal="left"/>
      <protection/>
    </xf>
    <xf numFmtId="0" fontId="3" fillId="24" borderId="37" xfId="64" applyFont="1" applyFill="1" applyBorder="1" applyAlignment="1" applyProtection="1">
      <alignment horizontal="left"/>
      <protection/>
    </xf>
    <xf numFmtId="43" fontId="13" fillId="24" borderId="25" xfId="43" applyFont="1" applyFill="1" applyBorder="1" applyAlignment="1" applyProtection="1">
      <alignment horizontal="left"/>
      <protection/>
    </xf>
    <xf numFmtId="43" fontId="13" fillId="24" borderId="50" xfId="43" applyFont="1" applyFill="1" applyBorder="1" applyAlignment="1" applyProtection="1">
      <alignment horizontal="left"/>
      <protection/>
    </xf>
    <xf numFmtId="43" fontId="13" fillId="24" borderId="14" xfId="43" applyFont="1" applyFill="1" applyBorder="1" applyAlignment="1" applyProtection="1" quotePrefix="1">
      <alignment horizontal="right"/>
      <protection/>
    </xf>
    <xf numFmtId="43" fontId="13" fillId="24" borderId="51" xfId="43" applyFont="1" applyFill="1" applyBorder="1" applyAlignment="1" applyProtection="1" quotePrefix="1">
      <alignment horizontal="right"/>
      <protection/>
    </xf>
    <xf numFmtId="43" fontId="13" fillId="24" borderId="14" xfId="43" applyFont="1" applyFill="1" applyBorder="1" applyAlignment="1" applyProtection="1">
      <alignment/>
      <protection/>
    </xf>
    <xf numFmtId="43" fontId="13" fillId="24" borderId="51" xfId="43" applyFont="1" applyFill="1" applyBorder="1" applyAlignment="1" applyProtection="1">
      <alignment/>
      <protection/>
    </xf>
    <xf numFmtId="0" fontId="2" fillId="24" borderId="21" xfId="63" applyFont="1" applyFill="1" applyBorder="1" applyAlignment="1">
      <alignment horizontal="center"/>
      <protection/>
    </xf>
    <xf numFmtId="0" fontId="2" fillId="24" borderId="4" xfId="63" applyFont="1" applyFill="1" applyBorder="1" applyAlignment="1">
      <alignment horizontal="center"/>
      <protection/>
    </xf>
    <xf numFmtId="0" fontId="2" fillId="24" borderId="22" xfId="63" applyFont="1" applyFill="1" applyBorder="1" applyAlignment="1">
      <alignment horizontal="center"/>
      <protection/>
    </xf>
    <xf numFmtId="43" fontId="13" fillId="24" borderId="22" xfId="43" applyFont="1" applyFill="1" applyBorder="1" applyAlignment="1" applyProtection="1">
      <alignment horizontal="center"/>
      <protection/>
    </xf>
    <xf numFmtId="0" fontId="3" fillId="24" borderId="21" xfId="64" applyFont="1" applyFill="1" applyBorder="1" applyAlignment="1" applyProtection="1">
      <alignment horizontal="center"/>
      <protection/>
    </xf>
    <xf numFmtId="0" fontId="3" fillId="24" borderId="22" xfId="64" applyFont="1" applyFill="1" applyBorder="1" applyAlignment="1" applyProtection="1">
      <alignment horizontal="center"/>
      <protection/>
    </xf>
    <xf numFmtId="0" fontId="3" fillId="24" borderId="4" xfId="64" applyFont="1" applyFill="1" applyBorder="1" applyAlignment="1" applyProtection="1">
      <alignment horizontal="center"/>
      <protection/>
    </xf>
    <xf numFmtId="0" fontId="3" fillId="24" borderId="19" xfId="64" applyFont="1" applyFill="1" applyBorder="1" applyAlignment="1" applyProtection="1">
      <alignment horizontal="center" vertical="center" wrapText="1"/>
      <protection/>
    </xf>
    <xf numFmtId="0" fontId="3" fillId="24" borderId="14" xfId="64" applyFont="1" applyFill="1" applyBorder="1" applyAlignment="1" applyProtection="1">
      <alignment horizontal="center" vertical="center"/>
      <protection/>
    </xf>
    <xf numFmtId="0" fontId="13" fillId="24" borderId="21" xfId="64" applyFont="1" applyFill="1" applyBorder="1" applyAlignment="1" applyProtection="1">
      <alignment horizontal="center"/>
      <protection/>
    </xf>
    <xf numFmtId="0" fontId="13" fillId="24" borderId="4" xfId="64" applyFont="1" applyFill="1" applyBorder="1" applyAlignment="1" applyProtection="1">
      <alignment horizontal="center"/>
      <protection/>
    </xf>
    <xf numFmtId="0" fontId="13" fillId="24" borderId="22" xfId="64" applyFont="1" applyFill="1" applyBorder="1" applyAlignment="1" applyProtection="1">
      <alignment horizontal="center"/>
      <protection/>
    </xf>
    <xf numFmtId="43" fontId="13" fillId="24" borderId="21" xfId="43" applyFont="1" applyFill="1" applyBorder="1" applyAlignment="1" applyProtection="1">
      <alignment horizontal="center"/>
      <protection/>
    </xf>
    <xf numFmtId="0" fontId="3" fillId="24" borderId="0" xfId="64" applyFont="1" applyFill="1" applyBorder="1" applyAlignment="1">
      <alignment horizontal="center"/>
      <protection/>
    </xf>
    <xf numFmtId="0" fontId="3" fillId="24" borderId="18" xfId="64" applyFont="1" applyFill="1" applyBorder="1" applyAlignment="1" applyProtection="1">
      <alignment horizontal="center" vertical="center" wrapText="1"/>
      <protection/>
    </xf>
    <xf numFmtId="0" fontId="3" fillId="24" borderId="16" xfId="64" applyFont="1" applyFill="1" applyBorder="1" applyAlignment="1" applyProtection="1">
      <alignment horizontal="center" vertical="center" wrapText="1"/>
      <protection/>
    </xf>
    <xf numFmtId="0" fontId="3" fillId="24" borderId="24" xfId="64" applyFont="1" applyFill="1" applyBorder="1" applyAlignment="1" applyProtection="1">
      <alignment horizontal="center" vertical="center" wrapText="1"/>
      <protection/>
    </xf>
    <xf numFmtId="0" fontId="3" fillId="24" borderId="15" xfId="64" applyFont="1" applyFill="1" applyBorder="1" applyAlignment="1" applyProtection="1">
      <alignment horizontal="center" vertical="center" wrapText="1"/>
      <protection/>
    </xf>
    <xf numFmtId="43" fontId="3" fillId="24" borderId="23" xfId="43" applyFont="1" applyFill="1" applyBorder="1" applyAlignment="1" applyProtection="1">
      <alignment horizontal="center" vertical="center" wrapText="1"/>
      <protection/>
    </xf>
    <xf numFmtId="43" fontId="3" fillId="24" borderId="14" xfId="43" applyFont="1" applyFill="1" applyBorder="1" applyAlignment="1" applyProtection="1">
      <alignment horizontal="center" vertical="center" wrapText="1"/>
      <protection/>
    </xf>
    <xf numFmtId="0" fontId="13" fillId="24" borderId="18" xfId="64" applyFont="1" applyFill="1" applyBorder="1" applyAlignment="1" applyProtection="1">
      <alignment horizontal="center"/>
      <protection/>
    </xf>
    <xf numFmtId="0" fontId="13" fillId="24" borderId="17" xfId="64" applyFont="1" applyFill="1" applyBorder="1" applyAlignment="1" applyProtection="1">
      <alignment horizontal="center"/>
      <protection/>
    </xf>
    <xf numFmtId="0" fontId="13" fillId="24" borderId="23" xfId="64" applyFont="1" applyFill="1" applyBorder="1" applyAlignment="1" applyProtection="1">
      <alignment horizontal="center"/>
      <protection/>
    </xf>
    <xf numFmtId="0" fontId="13" fillId="24" borderId="16" xfId="64" applyFont="1" applyFill="1" applyBorder="1" applyAlignment="1" applyProtection="1">
      <alignment horizontal="center"/>
      <protection/>
    </xf>
    <xf numFmtId="0" fontId="13" fillId="24" borderId="0" xfId="64" applyFont="1" applyFill="1" applyBorder="1" applyAlignment="1" applyProtection="1">
      <alignment horizontal="center"/>
      <protection/>
    </xf>
    <xf numFmtId="0" fontId="13" fillId="24" borderId="14" xfId="64" applyFont="1" applyFill="1" applyBorder="1" applyAlignment="1" applyProtection="1">
      <alignment horizontal="center"/>
      <protection/>
    </xf>
    <xf numFmtId="0" fontId="3" fillId="24" borderId="25" xfId="64" applyFont="1" applyFill="1" applyBorder="1" applyAlignment="1" applyProtection="1">
      <alignment horizontal="center" vertical="center" wrapText="1"/>
      <protection/>
    </xf>
    <xf numFmtId="0" fontId="3" fillId="24" borderId="18" xfId="64" applyFont="1" applyFill="1" applyBorder="1" applyAlignment="1" applyProtection="1">
      <alignment horizontal="center" vertical="center"/>
      <protection/>
    </xf>
    <xf numFmtId="0" fontId="3" fillId="24" borderId="23" xfId="64" applyFont="1" applyFill="1" applyBorder="1" applyAlignment="1" applyProtection="1">
      <alignment horizontal="center" vertical="center"/>
      <protection/>
    </xf>
    <xf numFmtId="0" fontId="3" fillId="24" borderId="16" xfId="64" applyFont="1" applyFill="1" applyBorder="1" applyAlignment="1" applyProtection="1">
      <alignment horizontal="center" vertical="center"/>
      <protection/>
    </xf>
    <xf numFmtId="0" fontId="36" fillId="24" borderId="18" xfId="64" applyFont="1" applyFill="1" applyBorder="1" applyAlignment="1">
      <alignment horizontal="center"/>
      <protection/>
    </xf>
    <xf numFmtId="0" fontId="36" fillId="24" borderId="17" xfId="64" applyFont="1" applyFill="1" applyBorder="1" applyAlignment="1">
      <alignment horizontal="center"/>
      <protection/>
    </xf>
    <xf numFmtId="0" fontId="36" fillId="24" borderId="23" xfId="64" applyFont="1" applyFill="1" applyBorder="1" applyAlignment="1">
      <alignment horizontal="center"/>
      <protection/>
    </xf>
    <xf numFmtId="0" fontId="2" fillId="24" borderId="18" xfId="63" applyFill="1" applyBorder="1" applyAlignment="1">
      <alignment horizontal="center"/>
      <protection/>
    </xf>
    <xf numFmtId="0" fontId="2" fillId="24" borderId="23" xfId="63" applyFill="1" applyBorder="1" applyAlignment="1">
      <alignment horizontal="center"/>
      <protection/>
    </xf>
    <xf numFmtId="0" fontId="2" fillId="24" borderId="16" xfId="63" applyFont="1" applyFill="1" applyBorder="1" applyAlignment="1">
      <alignment horizontal="center" wrapText="1"/>
      <protection/>
    </xf>
    <xf numFmtId="0" fontId="2" fillId="24" borderId="14" xfId="63" applyFill="1" applyBorder="1" applyAlignment="1">
      <alignment horizontal="center" wrapText="1"/>
      <protection/>
    </xf>
    <xf numFmtId="0" fontId="2" fillId="24" borderId="21" xfId="63" applyFill="1" applyBorder="1" applyAlignment="1">
      <alignment horizontal="center"/>
      <protection/>
    </xf>
    <xf numFmtId="0" fontId="2" fillId="24" borderId="4" xfId="63" applyFill="1" applyBorder="1" applyAlignment="1">
      <alignment horizontal="center"/>
      <protection/>
    </xf>
    <xf numFmtId="0" fontId="2" fillId="24" borderId="22" xfId="63" applyFill="1" applyBorder="1" applyAlignment="1">
      <alignment horizontal="center"/>
      <protection/>
    </xf>
    <xf numFmtId="0" fontId="2" fillId="24" borderId="16" xfId="63" applyFill="1" applyBorder="1" applyAlignment="1">
      <alignment horizontal="center"/>
      <protection/>
    </xf>
    <xf numFmtId="0" fontId="2" fillId="24" borderId="14" xfId="63" applyFill="1" applyBorder="1" applyAlignment="1">
      <alignment horizontal="center"/>
      <protection/>
    </xf>
    <xf numFmtId="0" fontId="3" fillId="24" borderId="0" xfId="64" applyFont="1" applyFill="1" applyBorder="1" applyAlignment="1" applyProtection="1">
      <alignment horizontal="left"/>
      <protection/>
    </xf>
    <xf numFmtId="0" fontId="3" fillId="24" borderId="42" xfId="64" applyFont="1" applyFill="1" applyBorder="1" applyAlignment="1" applyProtection="1">
      <alignment horizontal="left"/>
      <protection/>
    </xf>
    <xf numFmtId="0" fontId="13" fillId="24" borderId="0" xfId="64" applyFont="1" applyFill="1" applyBorder="1" applyAlignment="1" applyProtection="1">
      <alignment horizontal="left"/>
      <protection/>
    </xf>
    <xf numFmtId="0" fontId="13" fillId="24" borderId="42" xfId="64" applyFont="1" applyFill="1" applyBorder="1" applyAlignment="1" applyProtection="1">
      <alignment horizontal="left"/>
      <protection/>
    </xf>
    <xf numFmtId="0" fontId="13" fillId="24" borderId="54" xfId="64" applyFont="1" applyFill="1" applyBorder="1" applyAlignment="1" applyProtection="1">
      <alignment horizontal="center"/>
      <protection/>
    </xf>
    <xf numFmtId="0" fontId="13" fillId="24" borderId="69" xfId="64" applyFont="1" applyFill="1" applyBorder="1" applyAlignment="1">
      <alignment horizontal="center"/>
      <protection/>
    </xf>
    <xf numFmtId="0" fontId="13" fillId="24" borderId="70" xfId="64" applyFont="1" applyFill="1" applyBorder="1" applyAlignment="1">
      <alignment horizontal="center"/>
      <protection/>
    </xf>
    <xf numFmtId="0" fontId="13" fillId="24" borderId="71" xfId="64" applyFont="1" applyFill="1" applyBorder="1" applyAlignment="1">
      <alignment horizontal="center"/>
      <protection/>
    </xf>
    <xf numFmtId="0" fontId="3" fillId="24" borderId="54" xfId="64" applyFont="1" applyFill="1" applyBorder="1" applyAlignment="1">
      <alignment horizontal="center"/>
      <protection/>
    </xf>
    <xf numFmtId="0" fontId="3" fillId="24" borderId="72" xfId="64" applyFont="1" applyFill="1" applyBorder="1" applyAlignment="1">
      <alignment horizontal="left"/>
      <protection/>
    </xf>
    <xf numFmtId="0" fontId="3" fillId="24" borderId="64" xfId="64" applyFont="1" applyFill="1" applyBorder="1" applyAlignment="1">
      <alignment horizontal="left"/>
      <protection/>
    </xf>
    <xf numFmtId="0" fontId="38" fillId="24" borderId="73" xfId="64" applyFont="1" applyFill="1" applyBorder="1" applyAlignment="1" applyProtection="1">
      <alignment horizontal="center"/>
      <protection/>
    </xf>
    <xf numFmtId="0" fontId="38" fillId="24" borderId="74" xfId="64" applyFont="1" applyFill="1" applyBorder="1" applyAlignment="1" applyProtection="1">
      <alignment horizontal="center"/>
      <protection/>
    </xf>
    <xf numFmtId="0" fontId="38" fillId="24" borderId="44" xfId="64" applyFont="1" applyFill="1" applyBorder="1" applyAlignment="1" applyProtection="1">
      <alignment horizontal="center"/>
      <protection/>
    </xf>
    <xf numFmtId="0" fontId="38" fillId="24" borderId="75" xfId="64" applyFont="1" applyFill="1" applyBorder="1" applyAlignment="1" applyProtection="1">
      <alignment horizontal="center"/>
      <protection/>
    </xf>
    <xf numFmtId="0" fontId="3" fillId="24" borderId="76" xfId="64" applyFont="1" applyFill="1" applyBorder="1" applyAlignment="1" applyProtection="1">
      <alignment horizontal="center" vertical="center" wrapText="1"/>
      <protection/>
    </xf>
    <xf numFmtId="0" fontId="13" fillId="24" borderId="45" xfId="64" applyFont="1" applyFill="1" applyBorder="1" applyAlignment="1" applyProtection="1">
      <alignment horizontal="center"/>
      <protection/>
    </xf>
    <xf numFmtId="0" fontId="3" fillId="24" borderId="77" xfId="64" applyFont="1" applyFill="1" applyBorder="1" applyAlignment="1" applyProtection="1">
      <alignment horizontal="center" vertical="center" wrapText="1"/>
      <protection/>
    </xf>
    <xf numFmtId="0" fontId="3" fillId="24" borderId="50" xfId="64" applyFont="1" applyFill="1" applyBorder="1" applyAlignment="1" applyProtection="1">
      <alignment horizontal="center" vertical="center" wrapText="1"/>
      <protection/>
    </xf>
    <xf numFmtId="0" fontId="3" fillId="24" borderId="73" xfId="64" applyFont="1" applyFill="1" applyBorder="1" applyAlignment="1" applyProtection="1">
      <alignment horizontal="center" vertical="center"/>
      <protection/>
    </xf>
    <xf numFmtId="0" fontId="3" fillId="24" borderId="78" xfId="64" applyFont="1" applyFill="1" applyBorder="1" applyAlignment="1" applyProtection="1">
      <alignment horizontal="center" vertical="center"/>
      <protection/>
    </xf>
    <xf numFmtId="0" fontId="3" fillId="24" borderId="79" xfId="64" applyFont="1" applyFill="1" applyBorder="1" applyAlignment="1" applyProtection="1">
      <alignment horizontal="center" vertical="center"/>
      <protection/>
    </xf>
    <xf numFmtId="0" fontId="3" fillId="24" borderId="45" xfId="64" applyFont="1" applyFill="1" applyBorder="1" applyAlignment="1" applyProtection="1">
      <alignment horizontal="center" vertical="center"/>
      <protection/>
    </xf>
    <xf numFmtId="0" fontId="3" fillId="24" borderId="0" xfId="64" applyFont="1" applyFill="1" applyBorder="1" applyAlignment="1" applyProtection="1">
      <alignment horizontal="center" vertical="center"/>
      <protection/>
    </xf>
    <xf numFmtId="0" fontId="3" fillId="24" borderId="0" xfId="64" applyFont="1" applyFill="1" applyBorder="1" applyAlignment="1" applyProtection="1" quotePrefix="1">
      <alignment horizontal="left"/>
      <protection/>
    </xf>
    <xf numFmtId="0" fontId="3" fillId="24" borderId="42" xfId="64" applyFont="1" applyFill="1" applyBorder="1" applyAlignment="1" applyProtection="1" quotePrefix="1">
      <alignment horizontal="left"/>
      <protection/>
    </xf>
    <xf numFmtId="0" fontId="3" fillId="24" borderId="80" xfId="64" applyFont="1" applyFill="1" applyBorder="1" applyAlignment="1" applyProtection="1">
      <alignment horizontal="left"/>
      <protection/>
    </xf>
    <xf numFmtId="0" fontId="3" fillId="24" borderId="32" xfId="64" applyFont="1" applyFill="1" applyBorder="1" applyAlignment="1" applyProtection="1">
      <alignment horizontal="left"/>
      <protection/>
    </xf>
    <xf numFmtId="0" fontId="3" fillId="24" borderId="81" xfId="64" applyFont="1" applyFill="1" applyBorder="1" applyAlignment="1" applyProtection="1">
      <alignment horizontal="center"/>
      <protection/>
    </xf>
    <xf numFmtId="0" fontId="3" fillId="24" borderId="33" xfId="64" applyFont="1" applyFill="1" applyBorder="1" applyAlignment="1" applyProtection="1">
      <alignment horizontal="center"/>
      <protection/>
    </xf>
    <xf numFmtId="0" fontId="3" fillId="24" borderId="82" xfId="64" applyFont="1" applyFill="1" applyBorder="1" applyAlignment="1" applyProtection="1">
      <alignment horizontal="center"/>
      <protection/>
    </xf>
    <xf numFmtId="0" fontId="3" fillId="24" borderId="83" xfId="64" applyFont="1" applyFill="1" applyBorder="1" applyAlignment="1" applyProtection="1">
      <alignment horizontal="center"/>
      <protection/>
    </xf>
    <xf numFmtId="0" fontId="3" fillId="24" borderId="84" xfId="64" applyFont="1" applyFill="1" applyBorder="1" applyAlignment="1" applyProtection="1">
      <alignment horizontal="center"/>
      <protection/>
    </xf>
    <xf numFmtId="0" fontId="3" fillId="24" borderId="35" xfId="64" applyFont="1" applyFill="1" applyBorder="1" applyAlignment="1" applyProtection="1">
      <alignment horizontal="center"/>
      <protection/>
    </xf>
    <xf numFmtId="0" fontId="3" fillId="24" borderId="84" xfId="64" applyFont="1" applyFill="1" applyBorder="1" applyAlignment="1" applyProtection="1">
      <alignment horizontal="left"/>
      <protection/>
    </xf>
    <xf numFmtId="0" fontId="3" fillId="24" borderId="85" xfId="64" applyFont="1" applyFill="1" applyBorder="1" applyAlignment="1" applyProtection="1">
      <alignment horizontal="left"/>
      <protection/>
    </xf>
    <xf numFmtId="0" fontId="3" fillId="24" borderId="81" xfId="64" applyFont="1" applyFill="1" applyBorder="1" applyAlignment="1" applyProtection="1">
      <alignment horizontal="left"/>
      <protection/>
    </xf>
    <xf numFmtId="0" fontId="3" fillId="24" borderId="33" xfId="64" applyFont="1" applyFill="1" applyBorder="1" applyAlignment="1" applyProtection="1">
      <alignment horizontal="left"/>
      <protection/>
    </xf>
    <xf numFmtId="0" fontId="3" fillId="24" borderId="82" xfId="64" applyFont="1" applyFill="1" applyBorder="1" applyAlignment="1">
      <alignment horizontal="center"/>
      <protection/>
    </xf>
    <xf numFmtId="0" fontId="3" fillId="24" borderId="39" xfId="64" applyFont="1" applyFill="1" applyBorder="1" applyAlignment="1">
      <alignment horizontal="center"/>
      <protection/>
    </xf>
    <xf numFmtId="0" fontId="3" fillId="24" borderId="83" xfId="64" applyFont="1" applyFill="1" applyBorder="1" applyAlignment="1">
      <alignment horizontal="center"/>
      <protection/>
    </xf>
    <xf numFmtId="0" fontId="3" fillId="24" borderId="84" xfId="64" applyFont="1" applyFill="1" applyBorder="1" applyAlignment="1">
      <alignment horizontal="center"/>
      <protection/>
    </xf>
    <xf numFmtId="0" fontId="3" fillId="24" borderId="34" xfId="64" applyFont="1" applyFill="1" applyBorder="1" applyAlignment="1">
      <alignment horizontal="center"/>
      <protection/>
    </xf>
    <xf numFmtId="0" fontId="3" fillId="24" borderId="35" xfId="64" applyFont="1" applyFill="1" applyBorder="1" applyAlignment="1">
      <alignment horizontal="center"/>
      <protection/>
    </xf>
    <xf numFmtId="0" fontId="3" fillId="24" borderId="86" xfId="64" applyFont="1" applyFill="1" applyBorder="1" applyAlignment="1" applyProtection="1" quotePrefix="1">
      <alignment horizontal="left"/>
      <protection/>
    </xf>
    <xf numFmtId="0" fontId="3" fillId="24" borderId="87" xfId="64" applyFont="1" applyFill="1" applyBorder="1" applyAlignment="1" applyProtection="1" quotePrefix="1">
      <alignment horizontal="left"/>
      <protection/>
    </xf>
    <xf numFmtId="0" fontId="3" fillId="24" borderId="41" xfId="64" applyFont="1" applyFill="1" applyBorder="1" applyAlignment="1">
      <alignment horizontal="left"/>
      <protection/>
    </xf>
    <xf numFmtId="0" fontId="3" fillId="24" borderId="34" xfId="64" applyFont="1" applyFill="1" applyBorder="1" applyAlignment="1">
      <alignment horizontal="left"/>
      <protection/>
    </xf>
    <xf numFmtId="0" fontId="3" fillId="24" borderId="52" xfId="64" applyFont="1" applyFill="1" applyBorder="1" applyAlignment="1" applyProtection="1">
      <alignment horizontal="center"/>
      <protection/>
    </xf>
    <xf numFmtId="0" fontId="3" fillId="24" borderId="56" xfId="64" applyFont="1" applyFill="1" applyBorder="1" applyAlignment="1" applyProtection="1">
      <alignment horizontal="center"/>
      <protection/>
    </xf>
    <xf numFmtId="0" fontId="3" fillId="24" borderId="39" xfId="64" applyFont="1" applyFill="1" applyBorder="1" applyAlignment="1" applyProtection="1">
      <alignment horizontal="center"/>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 Currency (0)" xfId="40"/>
    <cellStyle name="Calculation" xfId="41"/>
    <cellStyle name="Check Cell" xfId="42"/>
    <cellStyle name="Comma" xfId="43"/>
    <cellStyle name="Comma [0]" xfId="44"/>
    <cellStyle name="Copied" xfId="45"/>
    <cellStyle name="Currency" xfId="46"/>
    <cellStyle name="Currency [0]" xfId="47"/>
    <cellStyle name="Entered" xfId="48"/>
    <cellStyle name="Explanatory Text" xfId="49"/>
    <cellStyle name="Good" xfId="50"/>
    <cellStyle name="Grey" xfId="51"/>
    <cellStyle name="Header1" xfId="52"/>
    <cellStyle name="Header2" xfId="53"/>
    <cellStyle name="Heading 1" xfId="54"/>
    <cellStyle name="Heading 2" xfId="55"/>
    <cellStyle name="Heading 3" xfId="56"/>
    <cellStyle name="Heading 4" xfId="57"/>
    <cellStyle name="Input" xfId="58"/>
    <cellStyle name="Input [yellow]" xfId="59"/>
    <cellStyle name="Linked Cell" xfId="60"/>
    <cellStyle name="Neutral" xfId="61"/>
    <cellStyle name="Normal - Style1" xfId="62"/>
    <cellStyle name="Normal 2" xfId="63"/>
    <cellStyle name="Normal_Format of audited results" xfId="64"/>
    <cellStyle name="Note" xfId="65"/>
    <cellStyle name="Output" xfId="66"/>
    <cellStyle name="Percent" xfId="67"/>
    <cellStyle name="Percent [2]" xfId="68"/>
    <cellStyle name="RevList" xfId="69"/>
    <cellStyle name="Subtotal" xfId="70"/>
    <cellStyle name="Title" xfId="71"/>
    <cellStyle name="Total" xfId="72"/>
    <cellStyle name="Warning Text" xfId="73"/>
    <cellStyle name="標準_経理報告帳票（共通）"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WINDOWS\TEMP\AiECM.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Sclcfs\secretarial\limited%20review%202010-11\31.03.2010\amortisation-31.03.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clcfs\Secretarial\Documents%20and%20Settings\raji.SCLDOM\Local%20Settings\Temporary%20Internet%20Files\OLK65B\statements%20for%20printi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O:\OPESTIM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clcfs\secretarial\Users\SUJA~1.NAI\AppData\Local\Temp\notesE8DBF2\31.03.2010\comparison%20of%20gl%20vs%20flash-final.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clcfs\secretarial\Users\SUJA~1.NAI\AppData\Local\Temp\notesE8DBF2\31.03.2010\Profit%20statement%20fina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clcfs\secretarial\Users\SUJA~1.NAI\AppData\Local\Temp\notesE8DBF2\30.06.2010\comparison%20of%20gl%20vs%20flash-30.06.201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clcfs\secretarial\Users\SUJA~1.NAI\AppData\Local\Temp\notesE8DBF2\30.06.2010\amortisation-Q1.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clcfs\secretarial\Users\SUJA~1.NAI\AppData\Local\Temp\notesE8DBF2\30.06.2010\s-alr-july.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Sclcfs\secretarial\limited%20review%202010-11\31.03.2010\comparison%20of%20gl%20vs%20flash-31.03.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base"/>
      <sheetName val="Ind"/>
      <sheetName val="Ind%"/>
      <sheetName val="Mop"/>
      <sheetName val="Mop%"/>
      <sheetName val="Mcy"/>
      <sheetName val="Mcy%"/>
      <sheetName val="BB"/>
      <sheetName val="BB%"/>
      <sheetName val="Sco"/>
      <sheetName val="Sco%"/>
      <sheetName val="Sctt"/>
      <sheetName val="Sctt%"/>
      <sheetName val="Man"/>
      <sheetName val="Man %"/>
      <sheetName val="3in1Mop"/>
      <sheetName val="3in1Mcy"/>
      <sheetName val="3in1Sctt"/>
      <sheetName val="6in1"/>
      <sheetName val="ECMmop"/>
      <sheetName val="ECMmcy"/>
      <sheetName val="ECMStp"/>
      <sheetName val="ECMSct"/>
      <sheetName val="ECMSctt"/>
      <sheetName val="ECMms%"/>
      <sheetName val="Chart1"/>
      <sheetName val="summary"/>
      <sheetName val="DVP PVL - N27 Alpha"/>
    </sheetNames>
    <sheetDataSet>
      <sheetData sheetId="0">
        <row r="2">
          <cell r="K2" t="str">
            <v> SALES RESULTS 1996-97</v>
          </cell>
          <cell r="Y2" t="str">
            <v> SALES RESULTS 1997-98</v>
          </cell>
        </row>
        <row r="3">
          <cell r="F3">
            <v>36271.762293287036</v>
          </cell>
          <cell r="K3" t="str">
            <v>LAST YEAR</v>
          </cell>
          <cell r="Y3" t="str">
            <v>THIS YEAR</v>
          </cell>
        </row>
        <row r="5">
          <cell r="F5" t="str">
            <v>BRAND</v>
          </cell>
          <cell r="G5" t="str">
            <v>APR'97</v>
          </cell>
          <cell r="H5" t="str">
            <v>MAY</v>
          </cell>
          <cell r="I5" t="str">
            <v>JUN</v>
          </cell>
          <cell r="J5" t="str">
            <v>JUL</v>
          </cell>
          <cell r="K5" t="str">
            <v>AUG</v>
          </cell>
          <cell r="L5" t="str">
            <v>SEP</v>
          </cell>
          <cell r="M5" t="str">
            <v>OCT</v>
          </cell>
          <cell r="N5" t="str">
            <v>NOV</v>
          </cell>
          <cell r="O5" t="str">
            <v>DEC</v>
          </cell>
          <cell r="P5" t="str">
            <v>JAN</v>
          </cell>
          <cell r="Q5" t="str">
            <v>FEB</v>
          </cell>
          <cell r="R5" t="str">
            <v>MAR</v>
          </cell>
          <cell r="T5" t="str">
            <v>APR'98</v>
          </cell>
          <cell r="U5" t="str">
            <v>MAY</v>
          </cell>
          <cell r="V5" t="str">
            <v>JUN</v>
          </cell>
          <cell r="W5" t="str">
            <v>JUL</v>
          </cell>
          <cell r="X5" t="str">
            <v>AUG</v>
          </cell>
          <cell r="Y5" t="str">
            <v>SEP</v>
          </cell>
          <cell r="Z5" t="str">
            <v>OCT</v>
          </cell>
          <cell r="AA5" t="str">
            <v>NOV</v>
          </cell>
          <cell r="AB5" t="str">
            <v>DEC</v>
          </cell>
        </row>
        <row r="7">
          <cell r="F7" t="str">
            <v>TVS</v>
          </cell>
          <cell r="G7">
            <v>19121</v>
          </cell>
          <cell r="H7">
            <v>26031</v>
          </cell>
          <cell r="I7">
            <v>26317</v>
          </cell>
          <cell r="J7">
            <v>26291</v>
          </cell>
          <cell r="K7">
            <v>25050</v>
          </cell>
          <cell r="L7">
            <v>24879</v>
          </cell>
          <cell r="M7">
            <v>22679</v>
          </cell>
          <cell r="N7">
            <v>23378</v>
          </cell>
          <cell r="O7">
            <v>22033</v>
          </cell>
          <cell r="P7">
            <v>24052</v>
          </cell>
          <cell r="Q7">
            <v>26068</v>
          </cell>
          <cell r="R7">
            <v>26879</v>
          </cell>
          <cell r="T7">
            <v>24137</v>
          </cell>
          <cell r="U7">
            <v>24396</v>
          </cell>
          <cell r="V7">
            <v>28870</v>
          </cell>
          <cell r="W7">
            <v>29863</v>
          </cell>
          <cell r="X7">
            <v>28461</v>
          </cell>
          <cell r="Y7">
            <v>29450</v>
          </cell>
          <cell r="Z7">
            <v>27555</v>
          </cell>
          <cell r="AA7">
            <v>25845</v>
          </cell>
          <cell r="AB7">
            <v>25190</v>
          </cell>
        </row>
        <row r="8">
          <cell r="F8" t="str">
            <v>KINETIC</v>
          </cell>
          <cell r="G8">
            <v>6993</v>
          </cell>
          <cell r="H8">
            <v>9320</v>
          </cell>
          <cell r="I8">
            <v>10669</v>
          </cell>
          <cell r="J8">
            <v>10884</v>
          </cell>
          <cell r="K8">
            <v>11990</v>
          </cell>
          <cell r="L8">
            <v>14967</v>
          </cell>
          <cell r="M8">
            <v>11235</v>
          </cell>
          <cell r="N8">
            <v>11541</v>
          </cell>
          <cell r="O8">
            <v>9800</v>
          </cell>
          <cell r="P8">
            <v>11263</v>
          </cell>
          <cell r="Q8">
            <v>8572</v>
          </cell>
          <cell r="R8">
            <v>9574</v>
          </cell>
          <cell r="T8">
            <v>5425</v>
          </cell>
          <cell r="U8">
            <v>9146</v>
          </cell>
          <cell r="V8">
            <v>10493</v>
          </cell>
          <cell r="W8">
            <v>11751</v>
          </cell>
          <cell r="X8">
            <v>12053</v>
          </cell>
          <cell r="Y8">
            <v>14226</v>
          </cell>
          <cell r="Z8">
            <v>9232</v>
          </cell>
          <cell r="AA8">
            <v>10106</v>
          </cell>
          <cell r="AB8">
            <v>8950</v>
          </cell>
        </row>
        <row r="9">
          <cell r="F9" t="str">
            <v>HERO MAJ</v>
          </cell>
          <cell r="G9">
            <v>2700</v>
          </cell>
          <cell r="H9">
            <v>2588</v>
          </cell>
          <cell r="I9">
            <v>2281</v>
          </cell>
          <cell r="J9">
            <v>3200</v>
          </cell>
          <cell r="K9">
            <v>3000</v>
          </cell>
          <cell r="L9">
            <v>3200</v>
          </cell>
          <cell r="M9">
            <v>3300</v>
          </cell>
          <cell r="N9">
            <v>3006</v>
          </cell>
          <cell r="O9">
            <v>3765</v>
          </cell>
          <cell r="P9">
            <v>4232</v>
          </cell>
          <cell r="Q9">
            <v>4135</v>
          </cell>
          <cell r="R9">
            <v>3656</v>
          </cell>
          <cell r="T9">
            <v>3656</v>
          </cell>
          <cell r="U9">
            <v>3350</v>
          </cell>
          <cell r="V9">
            <v>2630</v>
          </cell>
          <cell r="W9">
            <v>2715</v>
          </cell>
          <cell r="X9">
            <v>3092</v>
          </cell>
          <cell r="Y9">
            <v>2900</v>
          </cell>
          <cell r="Z9">
            <v>2340</v>
          </cell>
          <cell r="AA9">
            <v>2399</v>
          </cell>
          <cell r="AB9">
            <v>2875</v>
          </cell>
        </row>
        <row r="10">
          <cell r="F10" t="str">
            <v>HERO PUCH</v>
          </cell>
          <cell r="G10">
            <v>4561</v>
          </cell>
          <cell r="H10">
            <v>6178</v>
          </cell>
          <cell r="I10">
            <v>10490</v>
          </cell>
          <cell r="J10">
            <v>6300</v>
          </cell>
          <cell r="K10">
            <v>5593</v>
          </cell>
          <cell r="L10">
            <v>8258</v>
          </cell>
          <cell r="M10">
            <v>8261</v>
          </cell>
          <cell r="N10">
            <v>8346</v>
          </cell>
          <cell r="O10">
            <v>7738</v>
          </cell>
          <cell r="P10">
            <v>7576</v>
          </cell>
          <cell r="Q10">
            <v>7530</v>
          </cell>
          <cell r="R10">
            <v>5865</v>
          </cell>
          <cell r="T10">
            <v>4262</v>
          </cell>
          <cell r="U10">
            <v>5274</v>
          </cell>
          <cell r="V10">
            <v>6338</v>
          </cell>
          <cell r="W10">
            <v>7791</v>
          </cell>
          <cell r="X10">
            <v>6676</v>
          </cell>
          <cell r="Y10">
            <v>7379</v>
          </cell>
          <cell r="Z10">
            <v>7528</v>
          </cell>
          <cell r="AA10">
            <v>7831</v>
          </cell>
          <cell r="AB10">
            <v>7556</v>
          </cell>
        </row>
        <row r="11">
          <cell r="F11" t="str">
            <v>AVANTI</v>
          </cell>
          <cell r="G11">
            <v>0</v>
          </cell>
        </row>
        <row r="12">
          <cell r="F12" t="str">
            <v>ENFIELD</v>
          </cell>
          <cell r="G12">
            <v>0</v>
          </cell>
        </row>
        <row r="13">
          <cell r="F13" t="str">
            <v>BAJAJ SUNNY</v>
          </cell>
          <cell r="G13">
            <v>2568</v>
          </cell>
          <cell r="H13">
            <v>2743</v>
          </cell>
          <cell r="I13">
            <v>3814</v>
          </cell>
          <cell r="J13">
            <v>4335</v>
          </cell>
          <cell r="K13">
            <v>4897</v>
          </cell>
          <cell r="L13">
            <v>5647</v>
          </cell>
          <cell r="M13">
            <v>6221</v>
          </cell>
          <cell r="N13">
            <v>5879</v>
          </cell>
          <cell r="O13">
            <v>5767</v>
          </cell>
          <cell r="P13">
            <v>3926</v>
          </cell>
          <cell r="Q13">
            <v>2881</v>
          </cell>
          <cell r="R13">
            <v>2749</v>
          </cell>
          <cell r="T13">
            <v>3456</v>
          </cell>
          <cell r="U13">
            <v>5011</v>
          </cell>
          <cell r="V13">
            <v>4709</v>
          </cell>
          <cell r="W13">
            <v>6204</v>
          </cell>
          <cell r="X13">
            <v>4909</v>
          </cell>
          <cell r="Y13">
            <v>4255</v>
          </cell>
          <cell r="Z13">
            <v>3700</v>
          </cell>
          <cell r="AA13">
            <v>3318</v>
          </cell>
          <cell r="AB13">
            <v>2240</v>
          </cell>
        </row>
        <row r="14">
          <cell r="F14" t="str">
            <v>TORO</v>
          </cell>
          <cell r="G14">
            <v>458</v>
          </cell>
          <cell r="H14">
            <v>752</v>
          </cell>
          <cell r="I14">
            <v>803</v>
          </cell>
          <cell r="J14">
            <v>698</v>
          </cell>
          <cell r="K14">
            <v>484</v>
          </cell>
          <cell r="L14">
            <v>1276</v>
          </cell>
          <cell r="M14">
            <v>1034</v>
          </cell>
          <cell r="N14">
            <v>374</v>
          </cell>
          <cell r="O14">
            <v>1742</v>
          </cell>
          <cell r="P14">
            <v>1201</v>
          </cell>
          <cell r="Q14">
            <v>1450</v>
          </cell>
          <cell r="R14">
            <v>2144</v>
          </cell>
          <cell r="T14">
            <v>773</v>
          </cell>
          <cell r="U14">
            <v>63</v>
          </cell>
          <cell r="V14">
            <v>822</v>
          </cell>
          <cell r="W14">
            <v>1472</v>
          </cell>
          <cell r="X14">
            <v>1185</v>
          </cell>
          <cell r="Y14">
            <v>1316</v>
          </cell>
          <cell r="Z14">
            <v>957</v>
          </cell>
          <cell r="AA14">
            <v>322</v>
          </cell>
          <cell r="AB14">
            <v>217</v>
          </cell>
        </row>
        <row r="15">
          <cell r="T15">
            <v>23315</v>
          </cell>
          <cell r="U15">
            <v>26005</v>
          </cell>
          <cell r="V15">
            <v>26655</v>
          </cell>
          <cell r="W15">
            <v>26755</v>
          </cell>
          <cell r="X15">
            <v>26135</v>
          </cell>
          <cell r="Y15">
            <v>27380</v>
          </cell>
          <cell r="Z15">
            <v>24835</v>
          </cell>
          <cell r="AA15">
            <v>24145</v>
          </cell>
          <cell r="AB15">
            <v>23235</v>
          </cell>
        </row>
        <row r="16">
          <cell r="F16" t="str">
            <v>MOPEDS</v>
          </cell>
          <cell r="G16">
            <v>36401</v>
          </cell>
          <cell r="H16">
            <v>47612</v>
          </cell>
          <cell r="I16">
            <v>54374</v>
          </cell>
          <cell r="J16">
            <v>51708</v>
          </cell>
          <cell r="K16">
            <v>51014</v>
          </cell>
          <cell r="L16">
            <v>58227</v>
          </cell>
          <cell r="M16">
            <v>52730</v>
          </cell>
          <cell r="N16">
            <v>52524</v>
          </cell>
          <cell r="O16">
            <v>50845</v>
          </cell>
          <cell r="P16">
            <v>52250</v>
          </cell>
          <cell r="Q16">
            <v>50636</v>
          </cell>
          <cell r="R16">
            <v>50867</v>
          </cell>
          <cell r="T16">
            <v>41709</v>
          </cell>
          <cell r="U16">
            <v>47240</v>
          </cell>
          <cell r="V16">
            <v>53862</v>
          </cell>
          <cell r="W16">
            <v>59796</v>
          </cell>
          <cell r="X16">
            <v>56376</v>
          </cell>
          <cell r="Y16">
            <v>59526</v>
          </cell>
          <cell r="Z16">
            <v>51312</v>
          </cell>
          <cell r="AA16">
            <v>49821</v>
          </cell>
          <cell r="AB16">
            <v>47028</v>
          </cell>
        </row>
        <row r="17">
          <cell r="T17">
            <v>44712</v>
          </cell>
          <cell r="U17">
            <v>49407</v>
          </cell>
          <cell r="V17">
            <v>50964</v>
          </cell>
          <cell r="W17">
            <v>51949</v>
          </cell>
          <cell r="X17">
            <v>51390</v>
          </cell>
          <cell r="Y17">
            <v>54371</v>
          </cell>
          <cell r="Z17">
            <v>51387</v>
          </cell>
          <cell r="AA17">
            <v>49328</v>
          </cell>
          <cell r="AB17">
            <v>48351</v>
          </cell>
        </row>
        <row r="18">
          <cell r="F18" t="str">
            <v>TVS-SUZUKI</v>
          </cell>
          <cell r="G18">
            <v>13982</v>
          </cell>
          <cell r="H18">
            <v>17506</v>
          </cell>
          <cell r="I18">
            <v>16480</v>
          </cell>
          <cell r="J18">
            <v>15203</v>
          </cell>
          <cell r="K18">
            <v>16390</v>
          </cell>
          <cell r="L18">
            <v>18116</v>
          </cell>
          <cell r="M18">
            <v>18520</v>
          </cell>
          <cell r="N18">
            <v>17376</v>
          </cell>
          <cell r="O18">
            <v>19784</v>
          </cell>
          <cell r="P18">
            <v>18004</v>
          </cell>
          <cell r="Q18">
            <v>18343</v>
          </cell>
          <cell r="R18">
            <v>21971</v>
          </cell>
          <cell r="T18">
            <v>17919</v>
          </cell>
          <cell r="U18">
            <v>19524</v>
          </cell>
          <cell r="V18">
            <v>19695</v>
          </cell>
          <cell r="W18">
            <v>23515</v>
          </cell>
          <cell r="X18">
            <v>20405</v>
          </cell>
          <cell r="Y18">
            <v>22601</v>
          </cell>
          <cell r="Z18">
            <v>21113</v>
          </cell>
          <cell r="AA18">
            <v>21905</v>
          </cell>
          <cell r="AB18">
            <v>27082</v>
          </cell>
        </row>
        <row r="19">
          <cell r="F19" t="str">
            <v>HERO-HONDA</v>
          </cell>
          <cell r="G19">
            <v>27026</v>
          </cell>
          <cell r="H19">
            <v>30335</v>
          </cell>
          <cell r="I19">
            <v>26001</v>
          </cell>
          <cell r="J19">
            <v>30675</v>
          </cell>
          <cell r="K19">
            <v>28248</v>
          </cell>
          <cell r="L19">
            <v>31039</v>
          </cell>
          <cell r="M19">
            <v>27673</v>
          </cell>
          <cell r="N19">
            <v>30844</v>
          </cell>
          <cell r="O19">
            <v>33687</v>
          </cell>
          <cell r="P19">
            <v>34618</v>
          </cell>
          <cell r="Q19">
            <v>31595</v>
          </cell>
          <cell r="R19">
            <v>36029</v>
          </cell>
          <cell r="T19">
            <v>36514</v>
          </cell>
          <cell r="U19">
            <v>31803</v>
          </cell>
          <cell r="V19">
            <v>36260</v>
          </cell>
          <cell r="W19">
            <v>42286</v>
          </cell>
          <cell r="X19">
            <v>37042</v>
          </cell>
          <cell r="Y19">
            <v>43132</v>
          </cell>
          <cell r="Z19">
            <v>37471</v>
          </cell>
          <cell r="AA19">
            <v>43777</v>
          </cell>
          <cell r="AB19">
            <v>47315</v>
          </cell>
        </row>
        <row r="20">
          <cell r="F20" t="str">
            <v>ESC-YAMAHA</v>
          </cell>
          <cell r="G20">
            <v>7082</v>
          </cell>
          <cell r="H20">
            <v>8045</v>
          </cell>
          <cell r="I20">
            <v>7077</v>
          </cell>
          <cell r="J20">
            <v>7745</v>
          </cell>
          <cell r="K20">
            <v>8137</v>
          </cell>
          <cell r="L20">
            <v>5996</v>
          </cell>
          <cell r="M20">
            <v>8008</v>
          </cell>
          <cell r="N20">
            <v>7940</v>
          </cell>
          <cell r="O20">
            <v>12500</v>
          </cell>
          <cell r="P20">
            <v>8100</v>
          </cell>
          <cell r="Q20">
            <v>10260</v>
          </cell>
          <cell r="R20">
            <v>12989</v>
          </cell>
          <cell r="T20">
            <v>12400</v>
          </cell>
          <cell r="U20">
            <v>3917</v>
          </cell>
          <cell r="V20">
            <v>1101</v>
          </cell>
          <cell r="W20">
            <v>9159</v>
          </cell>
          <cell r="X20">
            <v>11000</v>
          </cell>
          <cell r="Y20">
            <v>12100</v>
          </cell>
          <cell r="Z20">
            <v>13248</v>
          </cell>
          <cell r="AA20">
            <v>10370</v>
          </cell>
          <cell r="AB20">
            <v>1565</v>
          </cell>
        </row>
        <row r="21">
          <cell r="F21" t="str">
            <v>KAWA-BAJAJ</v>
          </cell>
          <cell r="G21">
            <v>8368</v>
          </cell>
          <cell r="H21">
            <v>10074</v>
          </cell>
          <cell r="I21">
            <v>8443</v>
          </cell>
          <cell r="J21">
            <v>8448</v>
          </cell>
          <cell r="K21">
            <v>11034</v>
          </cell>
          <cell r="L21">
            <v>12514</v>
          </cell>
          <cell r="M21">
            <v>12560</v>
          </cell>
          <cell r="N21">
            <v>11877</v>
          </cell>
          <cell r="O21">
            <v>13747</v>
          </cell>
          <cell r="P21">
            <v>13773</v>
          </cell>
          <cell r="Q21">
            <v>13304</v>
          </cell>
          <cell r="R21">
            <v>12956</v>
          </cell>
          <cell r="T21">
            <v>12741</v>
          </cell>
          <cell r="U21">
            <v>13865</v>
          </cell>
          <cell r="V21">
            <v>13512</v>
          </cell>
          <cell r="W21">
            <v>13344</v>
          </cell>
          <cell r="X21">
            <v>12977</v>
          </cell>
          <cell r="Y21">
            <v>16358</v>
          </cell>
          <cell r="Z21">
            <v>14499</v>
          </cell>
          <cell r="AA21">
            <v>15064</v>
          </cell>
          <cell r="AB21">
            <v>16507</v>
          </cell>
        </row>
        <row r="22">
          <cell r="F22" t="str">
            <v>RAJDOOT</v>
          </cell>
          <cell r="G22">
            <v>4686</v>
          </cell>
          <cell r="H22">
            <v>4692</v>
          </cell>
          <cell r="I22">
            <v>5449</v>
          </cell>
          <cell r="J22">
            <v>6740</v>
          </cell>
          <cell r="K22">
            <v>5233</v>
          </cell>
          <cell r="L22">
            <v>4114</v>
          </cell>
          <cell r="M22">
            <v>5034</v>
          </cell>
          <cell r="N22">
            <v>5237</v>
          </cell>
          <cell r="O22">
            <v>9085</v>
          </cell>
          <cell r="P22">
            <v>6810</v>
          </cell>
          <cell r="Q22">
            <v>7820</v>
          </cell>
          <cell r="R22">
            <v>10673</v>
          </cell>
          <cell r="T22">
            <v>9348</v>
          </cell>
          <cell r="U22">
            <v>3196</v>
          </cell>
          <cell r="V22">
            <v>5850</v>
          </cell>
          <cell r="W22">
            <v>11938</v>
          </cell>
          <cell r="X22">
            <v>5526</v>
          </cell>
          <cell r="Y22">
            <v>4790</v>
          </cell>
          <cell r="Z22">
            <v>7144</v>
          </cell>
          <cell r="AA22">
            <v>4605</v>
          </cell>
          <cell r="AB22">
            <v>1600</v>
          </cell>
        </row>
        <row r="23">
          <cell r="F23" t="str">
            <v>BULLET</v>
          </cell>
          <cell r="G23">
            <v>1962</v>
          </cell>
          <cell r="H23">
            <v>2245</v>
          </cell>
          <cell r="I23">
            <v>2250</v>
          </cell>
          <cell r="J23">
            <v>1801</v>
          </cell>
          <cell r="K23">
            <v>1806</v>
          </cell>
          <cell r="L23">
            <v>2046</v>
          </cell>
          <cell r="M23">
            <v>1900</v>
          </cell>
          <cell r="N23">
            <v>1814</v>
          </cell>
          <cell r="O23">
            <v>1865</v>
          </cell>
          <cell r="P23">
            <v>1200</v>
          </cell>
          <cell r="Q23">
            <v>45</v>
          </cell>
          <cell r="R23">
            <v>0</v>
          </cell>
          <cell r="T23">
            <v>1715</v>
          </cell>
          <cell r="U23">
            <v>1952</v>
          </cell>
          <cell r="V23">
            <v>1951</v>
          </cell>
          <cell r="W23">
            <v>2100</v>
          </cell>
          <cell r="X23">
            <v>2073</v>
          </cell>
          <cell r="Y23">
            <v>2210</v>
          </cell>
          <cell r="Z23">
            <v>2008</v>
          </cell>
          <cell r="AA23">
            <v>2121</v>
          </cell>
          <cell r="AB23">
            <v>2133</v>
          </cell>
        </row>
        <row r="24">
          <cell r="F24" t="str">
            <v>YEZDI</v>
          </cell>
          <cell r="G24">
            <v>0</v>
          </cell>
          <cell r="H24">
            <v>0</v>
          </cell>
          <cell r="I24">
            <v>0</v>
          </cell>
          <cell r="J24">
            <v>0</v>
          </cell>
          <cell r="K24">
            <v>0</v>
          </cell>
          <cell r="L24">
            <v>0</v>
          </cell>
          <cell r="M24">
            <v>0</v>
          </cell>
          <cell r="N24">
            <v>0</v>
          </cell>
          <cell r="O24">
            <v>0</v>
          </cell>
          <cell r="P24">
            <v>0</v>
          </cell>
          <cell r="Q24">
            <v>0</v>
          </cell>
          <cell r="R24">
            <v>0</v>
          </cell>
          <cell r="T24">
            <v>0</v>
          </cell>
          <cell r="U24">
            <v>0</v>
          </cell>
          <cell r="V24">
            <v>0</v>
          </cell>
          <cell r="W24">
            <v>0</v>
          </cell>
          <cell r="X24">
            <v>0</v>
          </cell>
          <cell r="Y24">
            <v>0</v>
          </cell>
          <cell r="Z24">
            <v>0</v>
          </cell>
          <cell r="AA24">
            <v>0</v>
          </cell>
          <cell r="AB24">
            <v>0</v>
          </cell>
        </row>
        <row r="25">
          <cell r="T25">
            <v>20500</v>
          </cell>
          <cell r="U25">
            <v>19700</v>
          </cell>
          <cell r="V25">
            <v>19500</v>
          </cell>
          <cell r="W25">
            <v>19000</v>
          </cell>
          <cell r="X25">
            <v>20000</v>
          </cell>
          <cell r="Y25">
            <v>24000</v>
          </cell>
          <cell r="Z25">
            <v>24500</v>
          </cell>
          <cell r="AA25">
            <v>23300</v>
          </cell>
          <cell r="AB25">
            <v>23500</v>
          </cell>
        </row>
        <row r="26">
          <cell r="F26" t="str">
            <v>MOTORCYCLES</v>
          </cell>
          <cell r="G26">
            <v>63106</v>
          </cell>
          <cell r="H26">
            <v>72897</v>
          </cell>
          <cell r="I26">
            <v>65700</v>
          </cell>
          <cell r="J26">
            <v>70612</v>
          </cell>
          <cell r="K26">
            <v>70848</v>
          </cell>
          <cell r="L26">
            <v>73825</v>
          </cell>
          <cell r="M26">
            <v>73695</v>
          </cell>
          <cell r="N26">
            <v>75088</v>
          </cell>
          <cell r="O26">
            <v>90668</v>
          </cell>
          <cell r="P26">
            <v>82505</v>
          </cell>
          <cell r="Q26">
            <v>81367</v>
          </cell>
          <cell r="R26">
            <v>94618</v>
          </cell>
          <cell r="T26">
            <v>90637</v>
          </cell>
          <cell r="U26">
            <v>74257</v>
          </cell>
          <cell r="V26">
            <v>78369</v>
          </cell>
          <cell r="W26">
            <v>102342</v>
          </cell>
          <cell r="X26">
            <v>89023</v>
          </cell>
          <cell r="Y26">
            <v>101191</v>
          </cell>
          <cell r="Z26">
            <v>95483</v>
          </cell>
          <cell r="AA26">
            <v>97842</v>
          </cell>
          <cell r="AB26">
            <v>96202</v>
          </cell>
        </row>
        <row r="27">
          <cell r="T27">
            <v>81188</v>
          </cell>
          <cell r="U27">
            <v>84009</v>
          </cell>
          <cell r="V27">
            <v>80197</v>
          </cell>
          <cell r="W27">
            <v>78688</v>
          </cell>
          <cell r="X27">
            <v>80610</v>
          </cell>
          <cell r="Y27">
            <v>87557</v>
          </cell>
          <cell r="Z27">
            <v>92374</v>
          </cell>
          <cell r="AA27">
            <v>88793</v>
          </cell>
          <cell r="AB27">
            <v>88073</v>
          </cell>
        </row>
        <row r="28">
          <cell r="F28" t="str">
            <v>M 80</v>
          </cell>
          <cell r="G28">
            <v>12233</v>
          </cell>
          <cell r="H28">
            <v>13901</v>
          </cell>
          <cell r="I28">
            <v>12297</v>
          </cell>
          <cell r="J28">
            <v>12112</v>
          </cell>
          <cell r="K28">
            <v>9876</v>
          </cell>
          <cell r="L28">
            <v>11488</v>
          </cell>
          <cell r="M28">
            <v>13574</v>
          </cell>
          <cell r="N28">
            <v>12336</v>
          </cell>
          <cell r="O28">
            <v>15717</v>
          </cell>
          <cell r="P28">
            <v>14114</v>
          </cell>
          <cell r="Q28">
            <v>15052</v>
          </cell>
          <cell r="R28">
            <v>17413</v>
          </cell>
          <cell r="T28">
            <v>14181</v>
          </cell>
          <cell r="U28">
            <v>14422</v>
          </cell>
          <cell r="V28">
            <v>14183</v>
          </cell>
          <cell r="W28">
            <v>13733</v>
          </cell>
          <cell r="X28">
            <v>11995</v>
          </cell>
          <cell r="Y28">
            <v>16051</v>
          </cell>
          <cell r="Z28">
            <v>15148</v>
          </cell>
          <cell r="AA28">
            <v>13959</v>
          </cell>
          <cell r="AB28">
            <v>14187</v>
          </cell>
        </row>
        <row r="29">
          <cell r="F29" t="str">
            <v>BAJAJ RAVE</v>
          </cell>
          <cell r="G29">
            <v>808</v>
          </cell>
          <cell r="H29">
            <v>854</v>
          </cell>
          <cell r="I29">
            <v>1590</v>
          </cell>
          <cell r="J29">
            <v>1962</v>
          </cell>
          <cell r="K29">
            <v>1791</v>
          </cell>
          <cell r="L29">
            <v>2300</v>
          </cell>
          <cell r="M29">
            <v>2469</v>
          </cell>
          <cell r="N29">
            <v>2367</v>
          </cell>
          <cell r="O29">
            <v>1861</v>
          </cell>
          <cell r="P29">
            <v>812</v>
          </cell>
          <cell r="Q29">
            <v>595</v>
          </cell>
          <cell r="R29">
            <v>278</v>
          </cell>
          <cell r="T29">
            <v>60</v>
          </cell>
          <cell r="U29">
            <v>26</v>
          </cell>
          <cell r="V29">
            <v>4</v>
          </cell>
          <cell r="W29">
            <v>33</v>
          </cell>
          <cell r="X29">
            <v>17</v>
          </cell>
          <cell r="Y29">
            <v>34</v>
          </cell>
          <cell r="Z29">
            <v>554</v>
          </cell>
          <cell r="AA29">
            <v>341</v>
          </cell>
          <cell r="AB29">
            <v>501</v>
          </cell>
        </row>
        <row r="30">
          <cell r="F30" t="str">
            <v>HH - STREET</v>
          </cell>
          <cell r="G30">
            <v>2209</v>
          </cell>
          <cell r="H30">
            <v>2339</v>
          </cell>
          <cell r="I30">
            <v>2458</v>
          </cell>
          <cell r="J30">
            <v>2331</v>
          </cell>
          <cell r="K30">
            <v>2784</v>
          </cell>
          <cell r="L30">
            <v>3330</v>
          </cell>
          <cell r="M30">
            <v>4406</v>
          </cell>
          <cell r="N30">
            <v>4349</v>
          </cell>
          <cell r="O30">
            <v>4074</v>
          </cell>
          <cell r="P30">
            <v>3979</v>
          </cell>
          <cell r="Q30">
            <v>3505</v>
          </cell>
          <cell r="R30">
            <v>4029</v>
          </cell>
          <cell r="T30">
            <v>2814</v>
          </cell>
          <cell r="U30">
            <v>2736</v>
          </cell>
          <cell r="V30">
            <v>3441</v>
          </cell>
          <cell r="W30">
            <v>3258</v>
          </cell>
          <cell r="X30">
            <v>3243</v>
          </cell>
          <cell r="Y30">
            <v>4007</v>
          </cell>
          <cell r="Z30">
            <v>3467</v>
          </cell>
          <cell r="AA30">
            <v>3633</v>
          </cell>
          <cell r="AB30">
            <v>3100</v>
          </cell>
        </row>
        <row r="31">
          <cell r="F31" t="str">
            <v>K4 -100</v>
          </cell>
          <cell r="G31">
            <v>238</v>
          </cell>
          <cell r="H31">
            <v>200</v>
          </cell>
          <cell r="I31">
            <v>0</v>
          </cell>
          <cell r="J31">
            <v>235</v>
          </cell>
          <cell r="K31">
            <v>280</v>
          </cell>
          <cell r="L31">
            <v>500</v>
          </cell>
          <cell r="M31">
            <v>900</v>
          </cell>
          <cell r="N31">
            <v>0</v>
          </cell>
          <cell r="O31">
            <v>1050</v>
          </cell>
          <cell r="P31">
            <v>932</v>
          </cell>
          <cell r="Q31">
            <v>1100</v>
          </cell>
          <cell r="R31">
            <v>2160</v>
          </cell>
          <cell r="T31">
            <v>1382</v>
          </cell>
          <cell r="U31">
            <v>1800</v>
          </cell>
          <cell r="V31">
            <v>2218</v>
          </cell>
          <cell r="W31">
            <v>3300</v>
          </cell>
          <cell r="X31">
            <v>2509</v>
          </cell>
          <cell r="Y31">
            <v>3347</v>
          </cell>
          <cell r="Z31">
            <v>3091</v>
          </cell>
          <cell r="AA31">
            <v>1120</v>
          </cell>
          <cell r="AB31">
            <v>2100</v>
          </cell>
        </row>
        <row r="33">
          <cell r="F33" t="str">
            <v>BUS.BIKES</v>
          </cell>
          <cell r="G33">
            <v>15488</v>
          </cell>
          <cell r="H33">
            <v>17294</v>
          </cell>
          <cell r="I33">
            <v>16345</v>
          </cell>
          <cell r="J33">
            <v>16640</v>
          </cell>
          <cell r="K33">
            <v>14731</v>
          </cell>
          <cell r="L33">
            <v>17618</v>
          </cell>
          <cell r="M33">
            <v>21349</v>
          </cell>
          <cell r="N33">
            <v>19052</v>
          </cell>
          <cell r="O33">
            <v>22702</v>
          </cell>
          <cell r="P33">
            <v>19837</v>
          </cell>
          <cell r="Q33">
            <v>20252</v>
          </cell>
          <cell r="R33">
            <v>23880</v>
          </cell>
          <cell r="T33">
            <v>18437</v>
          </cell>
          <cell r="U33">
            <v>18984</v>
          </cell>
          <cell r="V33">
            <v>19846</v>
          </cell>
          <cell r="W33">
            <v>20324</v>
          </cell>
          <cell r="X33">
            <v>17764</v>
          </cell>
          <cell r="Y33">
            <v>23439</v>
          </cell>
          <cell r="Z33">
            <v>22260</v>
          </cell>
          <cell r="AA33">
            <v>19053</v>
          </cell>
          <cell r="AB33">
            <v>19888</v>
          </cell>
        </row>
        <row r="34">
          <cell r="T34">
            <v>16545</v>
          </cell>
          <cell r="U34">
            <v>16785</v>
          </cell>
          <cell r="V34">
            <v>16809</v>
          </cell>
          <cell r="W34">
            <v>16723</v>
          </cell>
          <cell r="X34">
            <v>16805</v>
          </cell>
          <cell r="Y34">
            <v>18237</v>
          </cell>
          <cell r="Z34">
            <v>20200</v>
          </cell>
          <cell r="AA34">
            <v>18897</v>
          </cell>
          <cell r="AB34">
            <v>18667</v>
          </cell>
        </row>
        <row r="35">
          <cell r="F35" t="str">
            <v>TVS</v>
          </cell>
          <cell r="G35">
            <v>0</v>
          </cell>
          <cell r="T35">
            <v>0</v>
          </cell>
          <cell r="U35">
            <v>0</v>
          </cell>
          <cell r="V35">
            <v>0</v>
          </cell>
          <cell r="W35">
            <v>0</v>
          </cell>
          <cell r="X35">
            <v>0</v>
          </cell>
          <cell r="Y35">
            <v>0</v>
          </cell>
          <cell r="Z35">
            <v>72</v>
          </cell>
          <cell r="AA35">
            <v>97</v>
          </cell>
          <cell r="AB35">
            <v>210</v>
          </cell>
        </row>
        <row r="36">
          <cell r="F36" t="str">
            <v>BAJAJ</v>
          </cell>
          <cell r="G36">
            <v>53592</v>
          </cell>
          <cell r="H36">
            <v>68172</v>
          </cell>
          <cell r="I36">
            <v>63168</v>
          </cell>
          <cell r="J36">
            <v>53000</v>
          </cell>
          <cell r="K36">
            <v>60472</v>
          </cell>
          <cell r="L36">
            <v>65376</v>
          </cell>
          <cell r="M36">
            <v>75225</v>
          </cell>
          <cell r="N36">
            <v>65264</v>
          </cell>
          <cell r="O36">
            <v>63985</v>
          </cell>
          <cell r="P36">
            <v>71394</v>
          </cell>
          <cell r="Q36">
            <v>65988</v>
          </cell>
          <cell r="R36">
            <v>62293</v>
          </cell>
          <cell r="T36">
            <v>65418</v>
          </cell>
          <cell r="U36">
            <v>76565</v>
          </cell>
          <cell r="V36">
            <v>70650</v>
          </cell>
          <cell r="W36">
            <v>67653</v>
          </cell>
          <cell r="X36">
            <v>56113</v>
          </cell>
          <cell r="Y36">
            <v>70545</v>
          </cell>
          <cell r="Z36">
            <v>60404</v>
          </cell>
          <cell r="AA36">
            <v>54192</v>
          </cell>
          <cell r="AB36">
            <v>59837</v>
          </cell>
        </row>
        <row r="37">
          <cell r="F37" t="str">
            <v>LML</v>
          </cell>
          <cell r="G37">
            <v>20443</v>
          </cell>
          <cell r="H37">
            <v>27512</v>
          </cell>
          <cell r="I37">
            <v>26078</v>
          </cell>
          <cell r="J37">
            <v>25620</v>
          </cell>
          <cell r="K37">
            <v>25637</v>
          </cell>
          <cell r="L37">
            <v>26662</v>
          </cell>
          <cell r="M37">
            <v>30130</v>
          </cell>
          <cell r="N37">
            <v>27284</v>
          </cell>
          <cell r="O37">
            <v>22727</v>
          </cell>
          <cell r="P37">
            <v>28456</v>
          </cell>
          <cell r="Q37">
            <v>23854</v>
          </cell>
          <cell r="R37">
            <v>24053</v>
          </cell>
          <cell r="T37">
            <v>27006</v>
          </cell>
          <cell r="U37">
            <v>29277</v>
          </cell>
          <cell r="V37">
            <v>30301</v>
          </cell>
          <cell r="W37">
            <v>27039</v>
          </cell>
          <cell r="X37">
            <v>25896</v>
          </cell>
          <cell r="Y37">
            <v>27552</v>
          </cell>
          <cell r="Z37">
            <v>27907</v>
          </cell>
          <cell r="AA37">
            <v>24966</v>
          </cell>
          <cell r="AB37">
            <v>21949</v>
          </cell>
        </row>
        <row r="39">
          <cell r="F39" t="str">
            <v>SCOOTERS</v>
          </cell>
          <cell r="G39">
            <v>74035</v>
          </cell>
          <cell r="H39">
            <v>95684</v>
          </cell>
          <cell r="I39">
            <v>89246</v>
          </cell>
          <cell r="J39">
            <v>78620</v>
          </cell>
          <cell r="K39">
            <v>86109</v>
          </cell>
          <cell r="L39">
            <v>92038</v>
          </cell>
          <cell r="M39">
            <v>105355</v>
          </cell>
          <cell r="N39">
            <v>92548</v>
          </cell>
          <cell r="O39">
            <v>86712</v>
          </cell>
          <cell r="P39">
            <v>99850</v>
          </cell>
          <cell r="Q39">
            <v>89842</v>
          </cell>
          <cell r="R39">
            <v>86346</v>
          </cell>
          <cell r="S39">
            <v>0</v>
          </cell>
          <cell r="T39">
            <v>92424</v>
          </cell>
          <cell r="U39">
            <v>105842</v>
          </cell>
          <cell r="V39">
            <v>100951</v>
          </cell>
          <cell r="W39">
            <v>94692</v>
          </cell>
          <cell r="X39">
            <v>82009</v>
          </cell>
          <cell r="Y39">
            <v>98097</v>
          </cell>
          <cell r="Z39">
            <v>88383</v>
          </cell>
          <cell r="AA39">
            <v>79255</v>
          </cell>
          <cell r="AB39">
            <v>81996</v>
          </cell>
        </row>
        <row r="40">
          <cell r="T40">
            <v>82241</v>
          </cell>
          <cell r="U40">
            <v>94456</v>
          </cell>
          <cell r="V40">
            <v>86412</v>
          </cell>
          <cell r="W40">
            <v>82779</v>
          </cell>
          <cell r="X40">
            <v>87895</v>
          </cell>
          <cell r="Y40">
            <v>89249</v>
          </cell>
          <cell r="Z40">
            <v>94532</v>
          </cell>
          <cell r="AA40">
            <v>90362</v>
          </cell>
          <cell r="AB40">
            <v>87813</v>
          </cell>
        </row>
        <row r="41">
          <cell r="F41" t="str">
            <v>TVS-SCOOTY</v>
          </cell>
          <cell r="G41">
            <v>3218</v>
          </cell>
          <cell r="H41">
            <v>4614</v>
          </cell>
          <cell r="I41">
            <v>5170</v>
          </cell>
          <cell r="J41">
            <v>5691</v>
          </cell>
          <cell r="K41">
            <v>6448</v>
          </cell>
          <cell r="L41">
            <v>6408</v>
          </cell>
          <cell r="M41">
            <v>7049</v>
          </cell>
          <cell r="N41">
            <v>6610</v>
          </cell>
          <cell r="O41">
            <v>7324</v>
          </cell>
          <cell r="P41">
            <v>6287</v>
          </cell>
          <cell r="Q41">
            <v>6382</v>
          </cell>
          <cell r="R41">
            <v>6794</v>
          </cell>
          <cell r="T41">
            <v>5726</v>
          </cell>
          <cell r="U41">
            <v>6566</v>
          </cell>
          <cell r="V41">
            <v>7164</v>
          </cell>
          <cell r="W41">
            <v>8341</v>
          </cell>
          <cell r="X41">
            <v>8365</v>
          </cell>
          <cell r="Y41">
            <v>9379</v>
          </cell>
          <cell r="Z41">
            <v>8772</v>
          </cell>
          <cell r="AA41">
            <v>8631</v>
          </cell>
          <cell r="AB41">
            <v>9849</v>
          </cell>
        </row>
        <row r="42">
          <cell r="F42" t="str">
            <v>K HONDA</v>
          </cell>
          <cell r="G42">
            <v>4861</v>
          </cell>
          <cell r="H42">
            <v>9045</v>
          </cell>
          <cell r="I42">
            <v>10552</v>
          </cell>
          <cell r="J42">
            <v>11024</v>
          </cell>
          <cell r="K42">
            <v>11246</v>
          </cell>
          <cell r="L42">
            <v>12151</v>
          </cell>
          <cell r="M42">
            <v>12801</v>
          </cell>
          <cell r="N42">
            <v>9051</v>
          </cell>
          <cell r="O42">
            <v>8561</v>
          </cell>
          <cell r="P42">
            <v>7497</v>
          </cell>
          <cell r="Q42">
            <v>8957</v>
          </cell>
          <cell r="R42">
            <v>8164</v>
          </cell>
          <cell r="T42">
            <v>2167</v>
          </cell>
          <cell r="U42">
            <v>5602</v>
          </cell>
          <cell r="V42">
            <v>7931</v>
          </cell>
          <cell r="W42">
            <v>9881</v>
          </cell>
          <cell r="X42">
            <v>8923</v>
          </cell>
          <cell r="Y42">
            <v>10747</v>
          </cell>
          <cell r="Z42">
            <v>9922</v>
          </cell>
          <cell r="AA42">
            <v>9337</v>
          </cell>
          <cell r="AB42">
            <v>9113</v>
          </cell>
        </row>
        <row r="43">
          <cell r="F43" t="str">
            <v>KIN-PRIDE</v>
          </cell>
          <cell r="G43">
            <v>1127</v>
          </cell>
          <cell r="H43">
            <v>1500</v>
          </cell>
          <cell r="I43">
            <v>1734</v>
          </cell>
          <cell r="J43">
            <v>1451</v>
          </cell>
          <cell r="K43">
            <v>1920</v>
          </cell>
          <cell r="L43">
            <v>2800</v>
          </cell>
          <cell r="M43">
            <v>1700</v>
          </cell>
          <cell r="N43">
            <v>1500</v>
          </cell>
          <cell r="O43">
            <v>1400</v>
          </cell>
          <cell r="P43">
            <v>1125</v>
          </cell>
          <cell r="Q43">
            <v>1334</v>
          </cell>
          <cell r="R43">
            <v>1505</v>
          </cell>
          <cell r="T43">
            <v>740</v>
          </cell>
          <cell r="U43">
            <v>1100</v>
          </cell>
          <cell r="V43">
            <v>809</v>
          </cell>
          <cell r="W43">
            <v>700</v>
          </cell>
          <cell r="X43">
            <v>1705</v>
          </cell>
          <cell r="Y43">
            <v>829</v>
          </cell>
          <cell r="Z43">
            <v>1367</v>
          </cell>
          <cell r="AA43">
            <v>800</v>
          </cell>
          <cell r="AB43">
            <v>1000</v>
          </cell>
        </row>
        <row r="44">
          <cell r="F44" t="str">
            <v>HERO WINNER</v>
          </cell>
          <cell r="G44">
            <v>1160</v>
          </cell>
          <cell r="H44">
            <v>903</v>
          </cell>
          <cell r="I44">
            <v>1082</v>
          </cell>
          <cell r="J44">
            <v>1665</v>
          </cell>
          <cell r="K44">
            <v>1164</v>
          </cell>
          <cell r="L44">
            <v>992</v>
          </cell>
          <cell r="M44">
            <v>849</v>
          </cell>
          <cell r="N44">
            <v>1310</v>
          </cell>
          <cell r="O44">
            <v>788</v>
          </cell>
          <cell r="P44">
            <v>600</v>
          </cell>
          <cell r="Q44">
            <v>890</v>
          </cell>
          <cell r="R44">
            <v>1582</v>
          </cell>
          <cell r="T44">
            <v>971</v>
          </cell>
          <cell r="U44">
            <v>1234</v>
          </cell>
          <cell r="V44">
            <v>1010</v>
          </cell>
          <cell r="W44">
            <v>1127</v>
          </cell>
          <cell r="X44">
            <v>1233</v>
          </cell>
          <cell r="Y44">
            <v>903</v>
          </cell>
          <cell r="Z44">
            <v>960</v>
          </cell>
          <cell r="AA44">
            <v>1040</v>
          </cell>
          <cell r="AB44">
            <v>1107</v>
          </cell>
        </row>
        <row r="45">
          <cell r="F45" t="str">
            <v>LML Trendy</v>
          </cell>
          <cell r="T45">
            <v>0</v>
          </cell>
          <cell r="U45">
            <v>0</v>
          </cell>
          <cell r="V45">
            <v>0</v>
          </cell>
          <cell r="W45">
            <v>0</v>
          </cell>
          <cell r="X45">
            <v>0</v>
          </cell>
          <cell r="Y45">
            <v>0</v>
          </cell>
          <cell r="Z45">
            <v>0</v>
          </cell>
          <cell r="AA45">
            <v>800</v>
          </cell>
          <cell r="AB45">
            <v>2500</v>
          </cell>
        </row>
        <row r="46">
          <cell r="T46">
            <v>6040</v>
          </cell>
          <cell r="U46">
            <v>6205</v>
          </cell>
          <cell r="V46">
            <v>7150</v>
          </cell>
          <cell r="W46">
            <v>7645</v>
          </cell>
          <cell r="X46">
            <v>7120</v>
          </cell>
          <cell r="Y46">
            <v>8045</v>
          </cell>
          <cell r="Z46">
            <v>8310</v>
          </cell>
          <cell r="AA46">
            <v>7235</v>
          </cell>
          <cell r="AB46">
            <v>6550</v>
          </cell>
        </row>
        <row r="47">
          <cell r="F47" t="str">
            <v>SCOOTERETTES</v>
          </cell>
          <cell r="G47">
            <v>10366</v>
          </cell>
          <cell r="H47">
            <v>16062</v>
          </cell>
          <cell r="I47">
            <v>18538</v>
          </cell>
          <cell r="J47">
            <v>19831</v>
          </cell>
          <cell r="K47">
            <v>20778</v>
          </cell>
          <cell r="L47">
            <v>22351</v>
          </cell>
          <cell r="M47">
            <v>22399</v>
          </cell>
          <cell r="N47">
            <v>18471</v>
          </cell>
          <cell r="O47">
            <v>18073</v>
          </cell>
          <cell r="P47">
            <v>15509</v>
          </cell>
          <cell r="Q47">
            <v>17563</v>
          </cell>
          <cell r="R47">
            <v>18045</v>
          </cell>
          <cell r="S47">
            <v>0</v>
          </cell>
          <cell r="T47">
            <v>9604</v>
          </cell>
          <cell r="U47">
            <v>14502</v>
          </cell>
          <cell r="V47">
            <v>16914</v>
          </cell>
          <cell r="W47">
            <v>20049</v>
          </cell>
          <cell r="X47">
            <v>20226</v>
          </cell>
          <cell r="Y47">
            <v>21858</v>
          </cell>
          <cell r="Z47">
            <v>21021</v>
          </cell>
          <cell r="AA47">
            <v>20608</v>
          </cell>
          <cell r="AB47">
            <v>23569</v>
          </cell>
        </row>
        <row r="48">
          <cell r="T48">
            <v>16665</v>
          </cell>
          <cell r="U48">
            <v>18172</v>
          </cell>
          <cell r="V48">
            <v>19048</v>
          </cell>
          <cell r="W48">
            <v>20353</v>
          </cell>
          <cell r="X48">
            <v>19930</v>
          </cell>
          <cell r="Y48">
            <v>20671</v>
          </cell>
          <cell r="Z48">
            <v>22076</v>
          </cell>
          <cell r="AA48">
            <v>19511</v>
          </cell>
          <cell r="AB48">
            <v>18129</v>
          </cell>
        </row>
        <row r="49">
          <cell r="F49" t="str">
            <v>TOTAL</v>
          </cell>
          <cell r="G49">
            <v>199396</v>
          </cell>
          <cell r="H49">
            <v>249549</v>
          </cell>
          <cell r="I49">
            <v>244203</v>
          </cell>
          <cell r="J49">
            <v>237411</v>
          </cell>
          <cell r="K49">
            <v>243480</v>
          </cell>
          <cell r="L49">
            <v>264059</v>
          </cell>
          <cell r="M49">
            <v>275528</v>
          </cell>
          <cell r="N49">
            <v>257683</v>
          </cell>
          <cell r="O49">
            <v>269000</v>
          </cell>
          <cell r="P49">
            <v>269951</v>
          </cell>
          <cell r="Q49">
            <v>259660</v>
          </cell>
          <cell r="R49">
            <v>273756</v>
          </cell>
          <cell r="T49">
            <v>252811</v>
          </cell>
          <cell r="U49">
            <v>260825</v>
          </cell>
          <cell r="V49">
            <v>269942</v>
          </cell>
          <cell r="W49">
            <v>297203</v>
          </cell>
          <cell r="X49">
            <v>265398</v>
          </cell>
          <cell r="Y49">
            <v>304111</v>
          </cell>
          <cell r="Z49">
            <v>278459</v>
          </cell>
          <cell r="AA49">
            <v>266579</v>
          </cell>
          <cell r="AB49">
            <v>268683</v>
          </cell>
        </row>
        <row r="50">
          <cell r="T50">
            <v>241351</v>
          </cell>
          <cell r="U50">
            <v>262829</v>
          </cell>
          <cell r="V50">
            <v>253430</v>
          </cell>
          <cell r="W50">
            <v>250492</v>
          </cell>
          <cell r="X50">
            <v>256630</v>
          </cell>
          <cell r="Y50">
            <v>270085</v>
          </cell>
          <cell r="Z50">
            <v>280569</v>
          </cell>
          <cell r="AA50">
            <v>266891</v>
          </cell>
          <cell r="AB50">
            <v>261033</v>
          </cell>
        </row>
        <row r="51">
          <cell r="G51">
            <v>0.5252877668195929</v>
          </cell>
          <cell r="H51">
            <v>0.5467319163236158</v>
          </cell>
          <cell r="I51">
            <v>0.4839997057417148</v>
          </cell>
          <cell r="J51">
            <v>0.5084513034733503</v>
          </cell>
          <cell r="K51">
            <v>0.4910416748343592</v>
          </cell>
          <cell r="L51">
            <v>0.4272760059766088</v>
          </cell>
          <cell r="M51">
            <v>0.43009671913521713</v>
          </cell>
          <cell r="N51">
            <v>0.4450917675729191</v>
          </cell>
          <cell r="O51">
            <v>0.4333366112695447</v>
          </cell>
          <cell r="P51">
            <v>0.46032535885167464</v>
          </cell>
          <cell r="Q51">
            <v>0.514811596492614</v>
          </cell>
          <cell r="R51">
            <v>0.5284172449721823</v>
          </cell>
          <cell r="T51">
            <v>0.579</v>
          </cell>
          <cell r="U51">
            <v>0.516</v>
          </cell>
          <cell r="V51">
            <v>0.532</v>
          </cell>
          <cell r="W51">
            <v>0.485</v>
          </cell>
          <cell r="X51">
            <v>0.518</v>
          </cell>
          <cell r="Y51">
            <v>0.49474179350199915</v>
          </cell>
          <cell r="Z51">
            <v>0.537008886810103</v>
          </cell>
          <cell r="AA51">
            <v>0.518757150599145</v>
          </cell>
          <cell r="AB51">
            <v>0.5356383431147401</v>
          </cell>
        </row>
        <row r="52">
          <cell r="G52">
            <v>0.22156371818844484</v>
          </cell>
          <cell r="H52">
            <v>0.2401470568061786</v>
          </cell>
          <cell r="I52">
            <v>0.25083713850837136</v>
          </cell>
          <cell r="J52">
            <v>0.2153033478728828</v>
          </cell>
          <cell r="K52">
            <v>0.2313403342366757</v>
          </cell>
          <cell r="L52">
            <v>0.24539112766677953</v>
          </cell>
          <cell r="M52">
            <v>0.2513060587556822</v>
          </cell>
          <cell r="N52">
            <v>0.23140848071595993</v>
          </cell>
          <cell r="O52">
            <v>0.21820267349009573</v>
          </cell>
          <cell r="P52">
            <v>0.21821707775286348</v>
          </cell>
          <cell r="Q52">
            <v>0.22543537306278957</v>
          </cell>
          <cell r="R52">
            <v>0.2322074023970069</v>
          </cell>
          <cell r="T52">
            <v>0.198</v>
          </cell>
          <cell r="U52">
            <v>0.263</v>
          </cell>
          <cell r="V52">
            <v>0.254</v>
          </cell>
          <cell r="W52">
            <v>0.241</v>
          </cell>
          <cell r="X52">
            <v>0.229</v>
          </cell>
          <cell r="Y52">
            <v>0.22334990265932742</v>
          </cell>
          <cell r="Z52">
            <v>0.22111789533215337</v>
          </cell>
          <cell r="AA52">
            <v>0.22388135974325954</v>
          </cell>
          <cell r="AB52">
            <v>0.2815118188811043</v>
          </cell>
        </row>
        <row r="53">
          <cell r="G53">
            <v>0.31043797028747827</v>
          </cell>
          <cell r="H53">
            <v>0.28726186029137096</v>
          </cell>
          <cell r="I53">
            <v>0.27888661128492825</v>
          </cell>
          <cell r="J53">
            <v>0.28697493822802683</v>
          </cell>
          <cell r="K53">
            <v>0.3103282317836173</v>
          </cell>
          <cell r="L53">
            <v>0.28669858171893875</v>
          </cell>
          <cell r="M53">
            <v>0.3147015491763025</v>
          </cell>
          <cell r="N53">
            <v>0.35785826430620976</v>
          </cell>
          <cell r="O53">
            <v>0.4052453936811819</v>
          </cell>
          <cell r="P53">
            <v>0.40537752272873817</v>
          </cell>
          <cell r="Q53">
            <v>0.36337755508739966</v>
          </cell>
          <cell r="R53">
            <v>0.3765031864782488</v>
          </cell>
          <cell r="T53">
            <v>0.596</v>
          </cell>
          <cell r="U53">
            <v>0.453</v>
          </cell>
          <cell r="V53">
            <v>0.395</v>
          </cell>
          <cell r="W53">
            <v>0.429</v>
          </cell>
          <cell r="X53">
            <v>0.429</v>
          </cell>
          <cell r="Y53">
            <v>0.4290877481928813</v>
          </cell>
          <cell r="Z53">
            <v>0.41729698872556015</v>
          </cell>
          <cell r="AA53">
            <v>0.4188179347826087</v>
          </cell>
          <cell r="AB53">
            <v>0.4178794178794179</v>
          </cell>
        </row>
        <row r="54">
          <cell r="G54">
            <v>0.1821551084274509</v>
          </cell>
          <cell r="H54">
            <v>0.1929520855623545</v>
          </cell>
          <cell r="I54">
            <v>0.19642264837041315</v>
          </cell>
          <cell r="J54">
            <v>0.1987481624693043</v>
          </cell>
          <cell r="K54">
            <v>0.1966814522753409</v>
          </cell>
          <cell r="L54">
            <v>0.18709076380657352</v>
          </cell>
          <cell r="M54">
            <v>0.1751110594930461</v>
          </cell>
          <cell r="N54">
            <v>0.18380723602255483</v>
          </cell>
          <cell r="O54">
            <v>0.1826802973977695</v>
          </cell>
          <cell r="P54">
            <v>0.1790806479694463</v>
          </cell>
          <cell r="Q54">
            <v>0.19561349456982208</v>
          </cell>
          <cell r="R54">
            <v>0.2032612983825012</v>
          </cell>
          <cell r="T54">
            <v>0.189</v>
          </cell>
          <cell r="U54">
            <v>0.194</v>
          </cell>
          <cell r="V54">
            <v>0.207</v>
          </cell>
          <cell r="W54">
            <v>0.21</v>
          </cell>
          <cell r="X54">
            <v>0.218</v>
          </cell>
          <cell r="Y54">
            <v>0.20199861234878055</v>
          </cell>
          <cell r="Z54">
            <v>0.2062781235298554</v>
          </cell>
          <cell r="AA54">
            <v>0.21149828005956958</v>
          </cell>
          <cell r="AB54">
            <v>0.2312055470573129</v>
          </cell>
        </row>
      </sheetData>
      <sheetData sheetId="11">
        <row r="9">
          <cell r="B9">
            <v>5977</v>
          </cell>
          <cell r="C9">
            <v>9947</v>
          </cell>
          <cell r="D9">
            <v>13940</v>
          </cell>
          <cell r="E9">
            <v>15946</v>
          </cell>
          <cell r="F9">
            <v>18166</v>
          </cell>
          <cell r="H9">
            <v>9604</v>
          </cell>
          <cell r="I9">
            <v>14502</v>
          </cell>
          <cell r="J9">
            <v>16914</v>
          </cell>
          <cell r="K9">
            <v>20049</v>
          </cell>
          <cell r="L9">
            <v>20226</v>
          </cell>
          <cell r="M9">
            <v>21858</v>
          </cell>
          <cell r="N9">
            <v>21021</v>
          </cell>
          <cell r="O9">
            <v>20608</v>
          </cell>
          <cell r="P9">
            <v>23569</v>
          </cell>
          <cell r="Q9">
            <v>21323</v>
          </cell>
          <cell r="R9">
            <v>19564</v>
          </cell>
          <cell r="S9">
            <v>23271</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Q2"/>
      <sheetName val="Q3"/>
      <sheetName val="Q4"/>
    </sheetNames>
    <sheetDataSet>
      <sheetData sheetId="2">
        <row r="13">
          <cell r="B13">
            <v>72678.5904691</v>
          </cell>
        </row>
        <row r="22">
          <cell r="B22">
            <v>301879.1986261001</v>
          </cell>
        </row>
        <row r="28">
          <cell r="B28">
            <v>6175.04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board approval"/>
      <sheetName val="after dividen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LRECON"/>
      <sheetName val="OPPLNREC"/>
      <sheetName val="OPPLNREC (2)"/>
      <sheetName val="PRESPBT"/>
      <sheetName val="TOTPBTSTAT"/>
      <sheetName val="Sheet2"/>
      <sheetName val="8MNTHPBT"/>
      <sheetName val="PRODCONT"/>
      <sheetName val="TAXWOR"/>
      <sheetName val="WORKINGS"/>
      <sheetName val="MATMC"/>
      <sheetName val="MATMOP"/>
      <sheetName val="FIXDEXP"/>
      <sheetName val="Sheet1"/>
      <sheetName val="MONTHLY"/>
      <sheetName val="successive"/>
      <sheetName val="comparative"/>
      <sheetName val="PRESPBT (2)"/>
      <sheetName val="premise -1"/>
      <sheetName val="CASFLO"/>
      <sheetName val="MATSCO"/>
      <sheetName val="PBTRECON (2)"/>
      <sheetName val="premise-2"/>
      <sheetName val="purchase.sales.stock"/>
      <sheetName val="ITASS"/>
      <sheetName val="premise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Q20809 final- consolidated"/>
      <sheetName val="as pr paper format(june-sep)"/>
      <sheetName val="Q20809 Detail"/>
      <sheetName val="as pr paper format(april-sep)"/>
      <sheetName val="workings"/>
      <sheetName val="comparison(gl vs flash)"/>
      <sheetName val="incr or dec in inv"/>
      <sheetName val="Q20809 "/>
      <sheetName val="Sheet1"/>
      <sheetName val="entry"/>
      <sheetName val="workings."/>
      <sheetName val="Sheet2"/>
    </sheetNames>
    <sheetDataSet>
      <sheetData sheetId="5">
        <row r="91">
          <cell r="C91">
            <v>8.2938738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1 (2)"/>
    </sheetNames>
    <sheetDataSet>
      <sheetData sheetId="1">
        <row r="16">
          <cell r="U16">
            <v>25125.5076065</v>
          </cell>
        </row>
        <row r="30">
          <cell r="U30">
            <v>-1184.25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Q20809 final- consolidated"/>
      <sheetName val="as pr paper format(june-sep)"/>
      <sheetName val="Q20809 Detail"/>
      <sheetName val="as pr paper format(april-sep)"/>
      <sheetName val="workings"/>
      <sheetName val="comparison(gl vs flash)"/>
      <sheetName val="incr or dec in inv"/>
      <sheetName val="Q20809 "/>
      <sheetName val="Sheet1"/>
      <sheetName val="entry"/>
      <sheetName val="workings."/>
      <sheetName val="Sheet2"/>
    </sheetNames>
    <sheetDataSet>
      <sheetData sheetId="5">
        <row r="16">
          <cell r="F16">
            <v>136956.8502291</v>
          </cell>
        </row>
        <row r="23">
          <cell r="F23">
            <v>2339.2830585999995</v>
          </cell>
        </row>
        <row r="33">
          <cell r="F33">
            <v>7290.9967589</v>
          </cell>
        </row>
        <row r="36">
          <cell r="F36">
            <v>2657.1495004</v>
          </cell>
        </row>
        <row r="90">
          <cell r="C90">
            <v>411.1071159</v>
          </cell>
        </row>
        <row r="91">
          <cell r="C91">
            <v>2.073468</v>
          </cell>
        </row>
        <row r="97">
          <cell r="C97">
            <v>1695.0022323000003</v>
          </cell>
        </row>
      </sheetData>
      <sheetData sheetId="6">
        <row r="32">
          <cell r="P32">
            <v>1862.7541733000003</v>
          </cell>
        </row>
        <row r="33">
          <cell r="P33">
            <v>-2031.6617596605047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Q2"/>
      <sheetName val="Q3"/>
      <sheetName val="Sheet2"/>
      <sheetName val="Sheet3"/>
    </sheetNames>
    <sheetDataSet>
      <sheetData sheetId="1">
        <row r="10">
          <cell r="B10">
            <v>20250.483502200004</v>
          </cell>
        </row>
        <row r="22">
          <cell r="B22">
            <v>101555.90649826046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alr-july"/>
      <sheetName val="comparision"/>
    </sheetNames>
    <sheetDataSet>
      <sheetData sheetId="1">
        <row r="94">
          <cell r="D94">
            <v>5036.63</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Q20809 final- consolidated"/>
      <sheetName val="as pr paper format(june-sep)"/>
      <sheetName val="Q20809 Detail"/>
      <sheetName val="as pr paper format(april-sep)"/>
      <sheetName val="workings"/>
      <sheetName val="comparison(gl vs flash)"/>
      <sheetName val="incr or dec in inv"/>
      <sheetName val="Q20809 "/>
      <sheetName val="Sheet1"/>
      <sheetName val="entry"/>
      <sheetName val="workings."/>
      <sheetName val="Sheet2"/>
    </sheetNames>
    <sheetDataSet>
      <sheetData sheetId="5">
        <row r="11">
          <cell r="F11">
            <v>394162.32671239995</v>
          </cell>
        </row>
        <row r="12">
          <cell r="F12">
            <v>3919.2747452</v>
          </cell>
        </row>
        <row r="13">
          <cell r="F13">
            <v>35394.8711858</v>
          </cell>
        </row>
        <row r="14">
          <cell r="F14">
            <v>1732.4553394999998</v>
          </cell>
        </row>
        <row r="15">
          <cell r="F15">
            <v>778.6634770000001</v>
          </cell>
        </row>
        <row r="16">
          <cell r="F16">
            <v>100.06941</v>
          </cell>
        </row>
        <row r="17">
          <cell r="F17">
            <v>130.21000000000004</v>
          </cell>
        </row>
        <row r="18">
          <cell r="F18">
            <v>92.66</v>
          </cell>
        </row>
        <row r="22">
          <cell r="F22">
            <v>2094.6694282999997</v>
          </cell>
        </row>
        <row r="23">
          <cell r="F23">
            <v>4608.1859552</v>
          </cell>
        </row>
        <row r="37">
          <cell r="F37">
            <v>10252.843251299999</v>
          </cell>
        </row>
        <row r="120">
          <cell r="F120">
            <v>25.51000000000022</v>
          </cell>
        </row>
        <row r="121">
          <cell r="F121">
            <v>13.7302636</v>
          </cell>
        </row>
        <row r="129">
          <cell r="F129">
            <v>6316.708912200002</v>
          </cell>
        </row>
      </sheetData>
      <sheetData sheetId="6">
        <row r="24">
          <cell r="P24">
            <v>194.61000000000058</v>
          </cell>
        </row>
        <row r="32">
          <cell r="P32">
            <v>8149.0599999999995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T127"/>
  <sheetViews>
    <sheetView view="pageBreakPreview" zoomScale="90" zoomScaleNormal="75" zoomScaleSheetLayoutView="90" workbookViewId="0" topLeftCell="A1">
      <pane xSplit="3" ySplit="3" topLeftCell="D6" activePane="bottomRight" state="frozen"/>
      <selection pane="topLeft" activeCell="A1" sqref="A1"/>
      <selection pane="topRight" activeCell="D1" sqref="D1"/>
      <selection pane="bottomLeft" activeCell="A4" sqref="A4"/>
      <selection pane="bottomRight" activeCell="A6" sqref="A6"/>
    </sheetView>
  </sheetViews>
  <sheetFormatPr defaultColWidth="11.421875" defaultRowHeight="18" customHeight="1"/>
  <cols>
    <col min="1" max="1" width="7.7109375" style="5" customWidth="1"/>
    <col min="2" max="2" width="61.28125" style="5" customWidth="1"/>
    <col min="3" max="3" width="28.57421875" style="110" hidden="1" customWidth="1"/>
    <col min="4" max="4" width="20.28125" style="5" customWidth="1"/>
    <col min="5" max="5" width="23.140625" style="110" hidden="1" customWidth="1"/>
    <col min="6" max="6" width="17.57421875" style="5" customWidth="1"/>
    <col min="7" max="7" width="19.57421875" style="5" customWidth="1"/>
    <col min="8" max="10" width="20.8515625" style="111" customWidth="1"/>
    <col min="11" max="11" width="5.57421875" style="4" customWidth="1"/>
    <col min="12" max="12" width="11.8515625" style="4" bestFit="1" customWidth="1"/>
    <col min="13" max="13" width="10.28125" style="4" customWidth="1"/>
    <col min="14" max="14" width="10.7109375" style="4" bestFit="1" customWidth="1"/>
    <col min="15" max="15" width="16.140625" style="5" customWidth="1"/>
    <col min="16" max="16" width="14.421875" style="5" customWidth="1"/>
    <col min="17" max="17" width="1.7109375" style="4" customWidth="1"/>
    <col min="18" max="16384" width="11.421875" style="5" customWidth="1"/>
  </cols>
  <sheetData>
    <row r="1" spans="1:17" ht="30.75" customHeight="1">
      <c r="A1" s="385" t="s">
        <v>0</v>
      </c>
      <c r="B1" s="386"/>
      <c r="C1" s="386"/>
      <c r="D1" s="386"/>
      <c r="E1" s="386"/>
      <c r="F1" s="386"/>
      <c r="G1" s="386"/>
      <c r="H1" s="386"/>
      <c r="I1" s="386"/>
      <c r="J1" s="386"/>
      <c r="K1" s="387"/>
      <c r="L1" s="7"/>
      <c r="M1" s="7"/>
      <c r="N1" s="7"/>
      <c r="O1" s="4"/>
      <c r="Q1" s="5"/>
    </row>
    <row r="2" spans="1:17" ht="18" customHeight="1">
      <c r="A2" s="388" t="s">
        <v>1</v>
      </c>
      <c r="B2" s="389"/>
      <c r="C2" s="389"/>
      <c r="D2" s="389"/>
      <c r="E2" s="389"/>
      <c r="F2" s="389"/>
      <c r="G2" s="389"/>
      <c r="H2" s="389"/>
      <c r="I2" s="389"/>
      <c r="J2" s="389"/>
      <c r="K2" s="390"/>
      <c r="L2" s="7"/>
      <c r="M2" s="7"/>
      <c r="N2" s="7"/>
      <c r="O2" s="4"/>
      <c r="Q2" s="5"/>
    </row>
    <row r="3" spans="1:17" ht="7.5" customHeight="1" hidden="1">
      <c r="A3" s="6"/>
      <c r="B3" s="7"/>
      <c r="C3" s="9"/>
      <c r="D3" s="7"/>
      <c r="E3" s="9"/>
      <c r="F3" s="7"/>
      <c r="G3" s="7"/>
      <c r="H3" s="10"/>
      <c r="I3" s="10"/>
      <c r="J3" s="10"/>
      <c r="K3" s="8"/>
      <c r="L3" s="7"/>
      <c r="M3" s="7"/>
      <c r="N3" s="7"/>
      <c r="O3" s="4"/>
      <c r="Q3" s="5"/>
    </row>
    <row r="4" spans="1:17" ht="18" customHeight="1">
      <c r="A4" s="388" t="s">
        <v>95</v>
      </c>
      <c r="B4" s="389"/>
      <c r="C4" s="389"/>
      <c r="D4" s="389"/>
      <c r="E4" s="389"/>
      <c r="F4" s="389"/>
      <c r="G4" s="389"/>
      <c r="H4" s="389"/>
      <c r="I4" s="389"/>
      <c r="J4" s="389"/>
      <c r="K4" s="390"/>
      <c r="L4" s="7"/>
      <c r="M4" s="7"/>
      <c r="N4" s="7"/>
      <c r="O4" s="11"/>
      <c r="P4" s="11"/>
      <c r="Q4" s="11"/>
    </row>
    <row r="5" spans="1:17" ht="18" customHeight="1" hidden="1">
      <c r="A5" s="12"/>
      <c r="B5" s="13"/>
      <c r="C5" s="14"/>
      <c r="D5" s="13"/>
      <c r="E5" s="14"/>
      <c r="F5" s="13"/>
      <c r="G5" s="13"/>
      <c r="H5" s="15"/>
      <c r="I5" s="15"/>
      <c r="J5" s="15"/>
      <c r="K5" s="16"/>
      <c r="O5" s="11"/>
      <c r="P5" s="11"/>
      <c r="Q5" s="11"/>
    </row>
    <row r="6" spans="1:17" ht="18" customHeight="1">
      <c r="A6" s="12"/>
      <c r="B6" s="13"/>
      <c r="C6" s="14"/>
      <c r="D6" s="13"/>
      <c r="E6" s="14"/>
      <c r="F6" s="13" t="s">
        <v>118</v>
      </c>
      <c r="G6" s="13"/>
      <c r="H6" s="15"/>
      <c r="I6" s="15"/>
      <c r="J6" s="15"/>
      <c r="K6" s="16"/>
      <c r="O6" s="11"/>
      <c r="P6" s="11"/>
      <c r="Q6" s="11"/>
    </row>
    <row r="7" spans="1:17" ht="18" customHeight="1">
      <c r="A7" s="388" t="s">
        <v>119</v>
      </c>
      <c r="B7" s="389"/>
      <c r="C7" s="389"/>
      <c r="D7" s="389"/>
      <c r="E7" s="389"/>
      <c r="F7" s="389"/>
      <c r="G7" s="389"/>
      <c r="H7" s="389"/>
      <c r="I7" s="389"/>
      <c r="J7" s="389"/>
      <c r="K7" s="390"/>
      <c r="L7" s="17"/>
      <c r="M7" s="17"/>
      <c r="N7" s="17"/>
      <c r="O7" s="11"/>
      <c r="P7" s="11"/>
      <c r="Q7" s="11"/>
    </row>
    <row r="8" spans="1:17" ht="18" customHeight="1">
      <c r="A8" s="167"/>
      <c r="B8" s="17"/>
      <c r="C8" s="18"/>
      <c r="D8" s="17"/>
      <c r="E8" s="18"/>
      <c r="F8" s="17"/>
      <c r="G8" s="17"/>
      <c r="H8" s="141"/>
      <c r="I8" s="141"/>
      <c r="J8" s="141" t="s">
        <v>76</v>
      </c>
      <c r="K8" s="19"/>
      <c r="L8" s="17"/>
      <c r="M8" s="17"/>
      <c r="N8" s="17"/>
      <c r="O8" s="11"/>
      <c r="P8" s="11"/>
      <c r="Q8" s="11"/>
    </row>
    <row r="9" spans="1:17" ht="18" customHeight="1">
      <c r="A9" s="168"/>
      <c r="B9" s="169"/>
      <c r="C9" s="170"/>
      <c r="D9" s="374" t="s">
        <v>116</v>
      </c>
      <c r="E9" s="375"/>
      <c r="F9" s="375"/>
      <c r="G9" s="375"/>
      <c r="H9" s="376"/>
      <c r="I9" s="377" t="s">
        <v>117</v>
      </c>
      <c r="J9" s="368"/>
      <c r="K9" s="19"/>
      <c r="L9" s="17"/>
      <c r="M9" s="17"/>
      <c r="N9" s="17"/>
      <c r="O9" s="11"/>
      <c r="P9" s="11"/>
      <c r="Q9" s="11"/>
    </row>
    <row r="10" spans="1:17" ht="6" customHeight="1">
      <c r="A10" s="392" t="s">
        <v>2</v>
      </c>
      <c r="B10" s="393"/>
      <c r="C10" s="20"/>
      <c r="D10" s="379" t="s">
        <v>78</v>
      </c>
      <c r="E10" s="21"/>
      <c r="F10" s="379" t="s">
        <v>90</v>
      </c>
      <c r="G10" s="381" t="s">
        <v>123</v>
      </c>
      <c r="H10" s="381" t="s">
        <v>123</v>
      </c>
      <c r="I10" s="381" t="s">
        <v>123</v>
      </c>
      <c r="J10" s="381" t="s">
        <v>123</v>
      </c>
      <c r="K10" s="19"/>
      <c r="L10" s="17"/>
      <c r="M10" s="17"/>
      <c r="N10" s="17"/>
      <c r="O10" s="11"/>
      <c r="P10" s="11"/>
      <c r="Q10" s="11"/>
    </row>
    <row r="11" spans="1:17" ht="60" customHeight="1">
      <c r="A11" s="394"/>
      <c r="B11" s="373"/>
      <c r="C11" s="24" t="s">
        <v>86</v>
      </c>
      <c r="D11" s="372"/>
      <c r="E11" s="25" t="s">
        <v>87</v>
      </c>
      <c r="F11" s="372"/>
      <c r="G11" s="391"/>
      <c r="H11" s="391"/>
      <c r="I11" s="391"/>
      <c r="J11" s="391"/>
      <c r="K11" s="19"/>
      <c r="L11" s="17"/>
      <c r="M11" s="17"/>
      <c r="N11" s="17"/>
      <c r="O11" s="11"/>
      <c r="P11" s="11"/>
      <c r="Q11" s="11"/>
    </row>
    <row r="12" spans="1:17" ht="5.25" customHeight="1" hidden="1">
      <c r="A12" s="394"/>
      <c r="B12" s="373"/>
      <c r="C12" s="26"/>
      <c r="D12" s="19"/>
      <c r="E12" s="27"/>
      <c r="F12" s="28"/>
      <c r="G12" s="28"/>
      <c r="H12" s="29"/>
      <c r="I12" s="160"/>
      <c r="J12" s="160"/>
      <c r="K12" s="19"/>
      <c r="L12" s="17"/>
      <c r="M12" s="17"/>
      <c r="N12" s="17"/>
      <c r="O12" s="11"/>
      <c r="P12" s="11"/>
      <c r="Q12" s="11"/>
    </row>
    <row r="13" spans="1:17" ht="18" customHeight="1">
      <c r="A13" s="394"/>
      <c r="B13" s="373"/>
      <c r="C13" s="26"/>
      <c r="D13" s="19" t="s">
        <v>93</v>
      </c>
      <c r="E13" s="27"/>
      <c r="F13" s="19" t="s">
        <v>94</v>
      </c>
      <c r="G13" s="28" t="s">
        <v>75</v>
      </c>
      <c r="H13" s="30" t="s">
        <v>3</v>
      </c>
      <c r="I13" s="28" t="s">
        <v>75</v>
      </c>
      <c r="J13" s="30" t="s">
        <v>3</v>
      </c>
      <c r="K13" s="19"/>
      <c r="L13" s="17"/>
      <c r="M13" s="17"/>
      <c r="N13" s="17"/>
      <c r="O13" s="11"/>
      <c r="P13" s="11"/>
      <c r="Q13" s="11"/>
    </row>
    <row r="14" spans="1:17" ht="18" customHeight="1">
      <c r="A14" s="22"/>
      <c r="B14" s="23"/>
      <c r="C14" s="24"/>
      <c r="D14" s="369" t="s">
        <v>77</v>
      </c>
      <c r="E14" s="371"/>
      <c r="F14" s="370"/>
      <c r="G14" s="369" t="s">
        <v>4</v>
      </c>
      <c r="H14" s="370"/>
      <c r="I14" s="369" t="s">
        <v>4</v>
      </c>
      <c r="J14" s="370"/>
      <c r="K14" s="19"/>
      <c r="L14" s="17"/>
      <c r="M14" s="17"/>
      <c r="N14" s="17"/>
      <c r="O14" s="11"/>
      <c r="P14" s="11"/>
      <c r="Q14" s="11"/>
    </row>
    <row r="15" spans="1:17" ht="18" customHeight="1">
      <c r="A15" s="31"/>
      <c r="B15" s="32"/>
      <c r="C15" s="33"/>
      <c r="D15" s="32" t="s">
        <v>5</v>
      </c>
      <c r="E15" s="33"/>
      <c r="F15" s="32" t="s">
        <v>6</v>
      </c>
      <c r="G15" s="34" t="s">
        <v>7</v>
      </c>
      <c r="H15" s="35" t="s">
        <v>8</v>
      </c>
      <c r="I15" s="34" t="s">
        <v>120</v>
      </c>
      <c r="J15" s="35" t="s">
        <v>121</v>
      </c>
      <c r="K15" s="36"/>
      <c r="L15" s="118"/>
      <c r="M15" s="118"/>
      <c r="N15" s="118"/>
      <c r="O15" s="4"/>
      <c r="Q15" s="5"/>
    </row>
    <row r="16" spans="1:17" ht="18" customHeight="1">
      <c r="A16" s="37" t="s">
        <v>9</v>
      </c>
      <c r="B16" s="38" t="s">
        <v>10</v>
      </c>
      <c r="C16" s="39">
        <v>316365.55</v>
      </c>
      <c r="D16" s="40">
        <f>'[6]comparison(gl vs flash)'!$F$16</f>
        <v>136956.8502291</v>
      </c>
      <c r="E16" s="41">
        <v>277896.31</v>
      </c>
      <c r="F16" s="42">
        <v>97562.51</v>
      </c>
      <c r="G16" s="43">
        <f>'[9]comparison(gl vs flash)'!$F$11+'[9]comparison(gl vs flash)'!$F$12+'[9]comparison(gl vs flash)'!$F$13+'[9]comparison(gl vs flash)'!$F$14+'[9]comparison(gl vs flash)'!$F$15+'[9]comparison(gl vs flash)'!$F$16+'[9]comparison(gl vs flash)'!$F$17+'[9]comparison(gl vs flash)'!$F$18</f>
        <v>436310.53086989996</v>
      </c>
      <c r="H16" s="44">
        <v>367092.38</v>
      </c>
      <c r="I16" s="161">
        <v>454364</v>
      </c>
      <c r="J16" s="162">
        <v>374672</v>
      </c>
      <c r="K16" s="45"/>
      <c r="L16" s="119"/>
      <c r="M16" s="119"/>
      <c r="N16" s="119"/>
      <c r="O16" s="4"/>
      <c r="Q16" s="5"/>
    </row>
    <row r="17" spans="1:17" ht="18" customHeight="1">
      <c r="A17" s="46" t="s">
        <v>11</v>
      </c>
      <c r="B17" s="47" t="s">
        <v>12</v>
      </c>
      <c r="C17" s="48">
        <v>4436.01</v>
      </c>
      <c r="D17" s="49">
        <f>'[6]comparison(gl vs flash)'!$F$23</f>
        <v>2339.2830585999995</v>
      </c>
      <c r="E17" s="50">
        <v>4837.2</v>
      </c>
      <c r="F17" s="51">
        <v>1307.21</v>
      </c>
      <c r="G17" s="49">
        <f>'[9]comparison(gl vs flash)'!$F$22+'[9]comparison(gl vs flash)'!$F$23</f>
        <v>6702.855383499999</v>
      </c>
      <c r="H17" s="52">
        <v>6575.05</v>
      </c>
      <c r="I17" s="57">
        <f>12203-5407.13</f>
        <v>6795.87</v>
      </c>
      <c r="J17" s="58">
        <v>6645</v>
      </c>
      <c r="K17" s="45"/>
      <c r="L17" s="119"/>
      <c r="M17" s="119"/>
      <c r="N17" s="119"/>
      <c r="O17" s="4"/>
      <c r="Q17" s="5"/>
    </row>
    <row r="18" spans="1:17" ht="18" customHeight="1">
      <c r="A18" s="53"/>
      <c r="B18" s="47" t="s">
        <v>13</v>
      </c>
      <c r="C18" s="54">
        <f aca="true" t="shared" si="0" ref="C18:J18">SUM(C16:C17)</f>
        <v>320801.56</v>
      </c>
      <c r="D18" s="55">
        <f t="shared" si="0"/>
        <v>139296.1332877</v>
      </c>
      <c r="E18" s="55">
        <f t="shared" si="0"/>
        <v>282733.51</v>
      </c>
      <c r="F18" s="56">
        <f t="shared" si="0"/>
        <v>98869.72</v>
      </c>
      <c r="G18" s="192">
        <f t="shared" si="0"/>
        <v>443013.38625339995</v>
      </c>
      <c r="H18" s="58">
        <f t="shared" si="0"/>
        <v>373667.43</v>
      </c>
      <c r="I18" s="58">
        <f t="shared" si="0"/>
        <v>461159.87</v>
      </c>
      <c r="J18" s="58">
        <f t="shared" si="0"/>
        <v>381317</v>
      </c>
      <c r="K18" s="45"/>
      <c r="L18" s="119"/>
      <c r="M18" s="119"/>
      <c r="N18" s="119"/>
      <c r="O18" s="4"/>
      <c r="Q18" s="5"/>
    </row>
    <row r="19" spans="1:17" ht="18" customHeight="1">
      <c r="A19" s="59" t="s">
        <v>14</v>
      </c>
      <c r="B19" s="47" t="s">
        <v>15</v>
      </c>
      <c r="C19" s="60"/>
      <c r="D19" s="61"/>
      <c r="E19" s="62"/>
      <c r="F19" s="61"/>
      <c r="G19" s="193"/>
      <c r="H19" s="64"/>
      <c r="I19" s="163"/>
      <c r="J19" s="164"/>
      <c r="K19" s="45"/>
      <c r="L19" s="119"/>
      <c r="M19" s="119"/>
      <c r="N19" s="119"/>
      <c r="O19" s="4"/>
      <c r="Q19" s="5"/>
    </row>
    <row r="20" spans="1:17" ht="18" customHeight="1">
      <c r="A20" s="46"/>
      <c r="B20" s="47" t="s">
        <v>16</v>
      </c>
      <c r="C20" s="65">
        <v>969.03</v>
      </c>
      <c r="D20" s="66">
        <f>'[6]incr or dec in inv'!$P$33</f>
        <v>-2031.6617596605047</v>
      </c>
      <c r="E20" s="67">
        <v>5413.7</v>
      </c>
      <c r="F20" s="68">
        <v>3111.35</v>
      </c>
      <c r="G20" s="194">
        <f>'[9]incr or dec in inv'!$P$24</f>
        <v>194.61000000000058</v>
      </c>
      <c r="H20" s="64">
        <v>6056.61</v>
      </c>
      <c r="I20" s="74">
        <v>-347</v>
      </c>
      <c r="J20" s="64">
        <v>5370</v>
      </c>
      <c r="K20" s="45"/>
      <c r="L20" s="119"/>
      <c r="M20" s="119"/>
      <c r="N20" s="119"/>
      <c r="O20" s="4"/>
      <c r="Q20" s="5"/>
    </row>
    <row r="21" spans="1:17" ht="18" customHeight="1">
      <c r="A21" s="46"/>
      <c r="B21" s="47" t="s">
        <v>17</v>
      </c>
      <c r="C21" s="65"/>
      <c r="D21" s="66"/>
      <c r="E21" s="67"/>
      <c r="F21" s="61"/>
      <c r="G21" s="193"/>
      <c r="H21" s="64"/>
      <c r="I21" s="64"/>
      <c r="J21" s="64"/>
      <c r="K21" s="45"/>
      <c r="L21" s="119"/>
      <c r="M21" s="119"/>
      <c r="N21" s="119"/>
      <c r="O21" s="4"/>
      <c r="Q21" s="5"/>
    </row>
    <row r="22" spans="1:17" ht="18" customHeight="1">
      <c r="A22" s="46"/>
      <c r="B22" s="47" t="s">
        <v>80</v>
      </c>
      <c r="C22" s="65">
        <v>221079.61</v>
      </c>
      <c r="D22" s="66">
        <f>'[7]Q3'!$B$22-2.77</f>
        <v>101553.13649826046</v>
      </c>
      <c r="E22" s="67">
        <v>200165.39</v>
      </c>
      <c r="F22" s="68">
        <f>66849.15-543.66</f>
        <v>66305.48999999999</v>
      </c>
      <c r="G22" s="195">
        <f>'[10]Q4'!$B$22</f>
        <v>301879.1986261001</v>
      </c>
      <c r="H22" s="64">
        <v>264219.7</v>
      </c>
      <c r="I22" s="64">
        <f>315040.93-1176.67</f>
        <v>313864.26</v>
      </c>
      <c r="J22" s="64">
        <v>268711</v>
      </c>
      <c r="K22" s="45"/>
      <c r="L22" s="119"/>
      <c r="M22" s="119"/>
      <c r="N22" s="119"/>
      <c r="O22" s="72">
        <v>300708.56766840006</v>
      </c>
      <c r="P22" s="69">
        <f>G22-O22</f>
        <v>1170.630957700021</v>
      </c>
      <c r="Q22" s="5"/>
    </row>
    <row r="23" spans="1:17" ht="18" customHeight="1">
      <c r="A23" s="70"/>
      <c r="B23" s="47" t="s">
        <v>18</v>
      </c>
      <c r="C23" s="65">
        <v>5806.81</v>
      </c>
      <c r="D23" s="66">
        <f>'[6]incr or dec in inv'!$P$32</f>
        <v>1862.7541733000003</v>
      </c>
      <c r="E23" s="67">
        <v>4053.57</v>
      </c>
      <c r="F23" s="68">
        <v>1601.73</v>
      </c>
      <c r="G23" s="195">
        <f>'[9]incr or dec in inv'!$P$32</f>
        <v>8149.0599999999995</v>
      </c>
      <c r="H23" s="64">
        <v>5560.61</v>
      </c>
      <c r="I23" s="64">
        <v>8149.07</v>
      </c>
      <c r="J23" s="64">
        <v>5561</v>
      </c>
      <c r="K23" s="45"/>
      <c r="L23" s="119"/>
      <c r="M23" s="119"/>
      <c r="N23" s="119"/>
      <c r="O23" s="72"/>
      <c r="Q23" s="5"/>
    </row>
    <row r="24" spans="1:17" ht="18" customHeight="1">
      <c r="A24" s="70"/>
      <c r="B24" s="47" t="s">
        <v>19</v>
      </c>
      <c r="C24" s="65">
        <v>17358.78</v>
      </c>
      <c r="D24" s="66">
        <f>'[6]comparison(gl vs flash)'!$F$33</f>
        <v>7290.9967589</v>
      </c>
      <c r="E24" s="67">
        <v>16183.88</v>
      </c>
      <c r="F24" s="68">
        <v>5233</v>
      </c>
      <c r="G24" s="195">
        <f>'[5]Sheet1 (2)'!$U$16</f>
        <v>25125.5076065</v>
      </c>
      <c r="H24" s="64">
        <v>20451.74</v>
      </c>
      <c r="I24" s="64">
        <v>28988</v>
      </c>
      <c r="J24" s="64">
        <v>23994</v>
      </c>
      <c r="K24" s="45"/>
      <c r="L24" s="119"/>
      <c r="M24" s="119"/>
      <c r="N24" s="119"/>
      <c r="O24" s="72">
        <v>25092.654894</v>
      </c>
      <c r="P24" s="69">
        <f>G24-O24</f>
        <v>32.85271250000005</v>
      </c>
      <c r="Q24" s="71"/>
    </row>
    <row r="25" spans="1:17" ht="18" customHeight="1">
      <c r="A25" s="70"/>
      <c r="B25" s="47" t="s">
        <v>20</v>
      </c>
      <c r="C25" s="65">
        <v>7602.02</v>
      </c>
      <c r="D25" s="66">
        <f>'[6]comparison(gl vs flash)'!$F$36+2</f>
        <v>2659.1495004</v>
      </c>
      <c r="E25" s="67">
        <v>7632.3</v>
      </c>
      <c r="F25" s="68">
        <v>2541.87</v>
      </c>
      <c r="G25" s="43">
        <f>'[9]comparison(gl vs flash)'!$F$37</f>
        <v>10252.843251299999</v>
      </c>
      <c r="H25" s="64">
        <v>10287.76</v>
      </c>
      <c r="I25" s="64">
        <v>13673</v>
      </c>
      <c r="J25" s="64">
        <v>13315</v>
      </c>
      <c r="K25" s="45"/>
      <c r="L25" s="119"/>
      <c r="M25" s="119"/>
      <c r="N25" s="119"/>
      <c r="O25" s="72"/>
      <c r="P25" s="71">
        <f>P22+P24</f>
        <v>1203.4836702000212</v>
      </c>
      <c r="Q25" s="71"/>
    </row>
    <row r="26" spans="1:17" ht="18" customHeight="1">
      <c r="A26" s="70"/>
      <c r="B26" s="47" t="s">
        <v>81</v>
      </c>
      <c r="C26" s="65">
        <v>4625.23</v>
      </c>
      <c r="D26" s="66">
        <v>1391.77</v>
      </c>
      <c r="E26" s="67">
        <v>4363.51</v>
      </c>
      <c r="F26" s="68">
        <v>1500.96</v>
      </c>
      <c r="G26" s="43">
        <f>'[10]Q4'!$B$28</f>
        <v>6175.04</v>
      </c>
      <c r="H26" s="64">
        <v>5803.59</v>
      </c>
      <c r="I26" s="171"/>
      <c r="J26" s="171"/>
      <c r="K26" s="45"/>
      <c r="L26" s="119"/>
      <c r="M26" s="119"/>
      <c r="N26" s="119"/>
      <c r="O26" s="72"/>
      <c r="P26" s="71"/>
      <c r="Q26" s="71"/>
    </row>
    <row r="27" spans="1:17" ht="18" customHeight="1">
      <c r="A27" s="70"/>
      <c r="B27" s="47" t="s">
        <v>82</v>
      </c>
      <c r="C27" s="65">
        <v>51654.07</v>
      </c>
      <c r="D27" s="66">
        <f>'[7]Q3'!$B$10+2.32+1</f>
        <v>20253.803502200004</v>
      </c>
      <c r="E27" s="67">
        <v>38603.34</v>
      </c>
      <c r="F27" s="68">
        <f>15813.56-957.3</f>
        <v>14856.26</v>
      </c>
      <c r="G27" s="43">
        <f>'[10]Q4'!$B$13</f>
        <v>72678.5904691</v>
      </c>
      <c r="H27" s="64">
        <v>52800.01</v>
      </c>
      <c r="I27" s="64">
        <f>91746+195-8902.35</f>
        <v>83038.65</v>
      </c>
      <c r="J27" s="64">
        <v>65521</v>
      </c>
      <c r="K27" s="45"/>
      <c r="L27" s="72">
        <v>76258</v>
      </c>
      <c r="M27" s="119"/>
      <c r="N27" s="69">
        <f>L27-G27</f>
        <v>3579.4095308999968</v>
      </c>
      <c r="O27" s="5">
        <v>3840</v>
      </c>
      <c r="P27" s="69">
        <f>N27-O27</f>
        <v>-260.59046910000325</v>
      </c>
      <c r="Q27" s="69">
        <f>N27-O27</f>
        <v>-260.59046910000325</v>
      </c>
    </row>
    <row r="28" spans="1:17" ht="18" customHeight="1">
      <c r="A28" s="6"/>
      <c r="B28" s="47" t="s">
        <v>92</v>
      </c>
      <c r="C28" s="73">
        <f>SUM(C20:C27)</f>
        <v>309095.55</v>
      </c>
      <c r="D28" s="74">
        <f>SUM(D20:D27)+0.01</f>
        <v>132979.95867339996</v>
      </c>
      <c r="E28" s="74">
        <f>SUM(E20:E27)</f>
        <v>276415.69000000006</v>
      </c>
      <c r="F28" s="74">
        <f>SUM(F20:F27)</f>
        <v>95150.65999999999</v>
      </c>
      <c r="G28" s="74">
        <f>SUM(G20:G27)+0.01</f>
        <v>424454.85995300004</v>
      </c>
      <c r="H28" s="64">
        <f>SUM(H20:H27)</f>
        <v>365180.02</v>
      </c>
      <c r="I28" s="64">
        <f>SUM(I20:I27)</f>
        <v>447365.98</v>
      </c>
      <c r="J28" s="64">
        <f>SUM(J20:J27)</f>
        <v>382472</v>
      </c>
      <c r="K28" s="45"/>
      <c r="L28" s="119"/>
      <c r="M28" s="119"/>
      <c r="N28" s="119"/>
      <c r="O28" s="72"/>
      <c r="P28" s="69"/>
      <c r="Q28" s="5"/>
    </row>
    <row r="29" spans="1:17" ht="18" customHeight="1">
      <c r="A29" s="46" t="s">
        <v>21</v>
      </c>
      <c r="B29" s="47" t="s">
        <v>22</v>
      </c>
      <c r="C29" s="65"/>
      <c r="D29" s="66"/>
      <c r="E29" s="67"/>
      <c r="F29" s="61"/>
      <c r="G29" s="43"/>
      <c r="H29" s="2"/>
      <c r="I29" s="64"/>
      <c r="J29" s="64"/>
      <c r="K29" s="75"/>
      <c r="L29" s="120"/>
      <c r="M29" s="120"/>
      <c r="N29" s="120"/>
      <c r="O29" s="72"/>
      <c r="Q29" s="5"/>
    </row>
    <row r="30" spans="1:17" ht="18" customHeight="1">
      <c r="A30" s="46"/>
      <c r="B30" s="47" t="s">
        <v>23</v>
      </c>
      <c r="C30" s="76">
        <f>+C18-C28</f>
        <v>11706.01000000001</v>
      </c>
      <c r="D30" s="2">
        <f>+D18-D28</f>
        <v>6316.174614300049</v>
      </c>
      <c r="E30" s="67">
        <v>6317.82</v>
      </c>
      <c r="F30" s="2">
        <f>+F18-F28</f>
        <v>3719.060000000012</v>
      </c>
      <c r="G30" s="3">
        <f>+G18-G28+0.01</f>
        <v>18558.536300399912</v>
      </c>
      <c r="H30" s="2">
        <f>+H18-H28</f>
        <v>8487.409999999974</v>
      </c>
      <c r="I30" s="2">
        <f>+I18-I28</f>
        <v>13793.890000000014</v>
      </c>
      <c r="J30" s="2">
        <f>+J18-J28</f>
        <v>-1155</v>
      </c>
      <c r="K30" s="75"/>
      <c r="L30" s="75"/>
      <c r="M30" s="75"/>
      <c r="N30" s="75"/>
      <c r="O30" s="3">
        <v>17762.451160599932</v>
      </c>
      <c r="P30" s="69">
        <f>G30-O30</f>
        <v>796.0851397999795</v>
      </c>
      <c r="Q30" s="5"/>
    </row>
    <row r="31" spans="1:17" ht="18" customHeight="1">
      <c r="A31" s="46" t="s">
        <v>24</v>
      </c>
      <c r="B31" s="47" t="s">
        <v>25</v>
      </c>
      <c r="C31" s="65">
        <v>404.2</v>
      </c>
      <c r="D31" s="66">
        <f>'[6]comparison(gl vs flash)'!$C$90</f>
        <v>411.1071159</v>
      </c>
      <c r="E31" s="67">
        <v>192.18</v>
      </c>
      <c r="F31" s="68">
        <v>31.05</v>
      </c>
      <c r="G31" s="43">
        <f>'[9]comparison(gl vs flash)'!$F$120+'[9]comparison(gl vs flash)'!$F$121</f>
        <v>39.24026360000022</v>
      </c>
      <c r="H31" s="2">
        <v>302.05</v>
      </c>
      <c r="I31" s="191"/>
      <c r="J31" s="2">
        <v>322</v>
      </c>
      <c r="K31" s="75"/>
      <c r="L31" s="120"/>
      <c r="M31" s="120"/>
      <c r="N31" s="120"/>
      <c r="O31" s="4"/>
      <c r="Q31" s="5"/>
    </row>
    <row r="32" spans="1:17" ht="18" customHeight="1">
      <c r="A32" s="46"/>
      <c r="B32" s="47" t="s">
        <v>26</v>
      </c>
      <c r="C32" s="65">
        <v>-103.23</v>
      </c>
      <c r="D32" s="66">
        <f>'[6]comparison(gl vs flash)'!$C$91+12.41</f>
        <v>14.483468</v>
      </c>
      <c r="E32" s="67">
        <v>0</v>
      </c>
      <c r="F32" s="66">
        <v>-34.04</v>
      </c>
      <c r="G32" s="43">
        <f>'[4]comparison(gl vs flash)'!$C$91</f>
        <v>8.2938738</v>
      </c>
      <c r="H32" s="2">
        <v>148.73</v>
      </c>
      <c r="I32" s="2">
        <v>1294</v>
      </c>
      <c r="J32" s="2">
        <v>-511</v>
      </c>
      <c r="K32" s="75"/>
      <c r="L32" s="120"/>
      <c r="M32" s="120"/>
      <c r="N32" s="120"/>
      <c r="O32" s="4"/>
      <c r="Q32" s="5"/>
    </row>
    <row r="33" spans="1:17" ht="18" customHeight="1">
      <c r="A33" s="46" t="s">
        <v>27</v>
      </c>
      <c r="B33" s="47" t="s">
        <v>28</v>
      </c>
      <c r="C33" s="76">
        <f>C30+C31+C32</f>
        <v>12006.98000000001</v>
      </c>
      <c r="D33" s="2">
        <f>D30+D31+D32</f>
        <v>6741.76519820005</v>
      </c>
      <c r="E33" s="67">
        <v>6510</v>
      </c>
      <c r="F33" s="2">
        <f>F30+F31+F32</f>
        <v>3716.0700000000124</v>
      </c>
      <c r="G33" s="3">
        <f>G30+G31+G32</f>
        <v>18606.070437799914</v>
      </c>
      <c r="H33" s="2">
        <f>H30+H31+H32</f>
        <v>8938.189999999973</v>
      </c>
      <c r="I33" s="2">
        <f>I30+I31+I32</f>
        <v>15087.890000000014</v>
      </c>
      <c r="J33" s="2">
        <f>J30+J31+J32</f>
        <v>-1344</v>
      </c>
      <c r="K33" s="75"/>
      <c r="L33" s="120">
        <v>11104.782515399935</v>
      </c>
      <c r="M33" s="120"/>
      <c r="N33" s="120"/>
      <c r="O33" s="4">
        <v>18506.001708599935</v>
      </c>
      <c r="P33" s="69">
        <f>G33-O33</f>
        <v>100.0687291999784</v>
      </c>
      <c r="Q33" s="5"/>
    </row>
    <row r="34" spans="1:17" ht="18" customHeight="1">
      <c r="A34" s="46" t="s">
        <v>29</v>
      </c>
      <c r="B34" s="47" t="s">
        <v>30</v>
      </c>
      <c r="C34" s="65">
        <v>5048.54</v>
      </c>
      <c r="D34" s="66">
        <f>'[6]comparison(gl vs flash)'!$C$97</f>
        <v>1695.0022323000003</v>
      </c>
      <c r="E34" s="67">
        <v>4113.45</v>
      </c>
      <c r="F34" s="68">
        <v>1712.08</v>
      </c>
      <c r="G34" s="43">
        <f>'[9]comparison(gl vs flash)'!$F$129</f>
        <v>6316.708912200002</v>
      </c>
      <c r="H34" s="2">
        <v>5500.61</v>
      </c>
      <c r="I34" s="2">
        <v>8278</v>
      </c>
      <c r="J34" s="2">
        <v>7447</v>
      </c>
      <c r="K34" s="75"/>
      <c r="L34" s="120"/>
      <c r="M34" s="120"/>
      <c r="N34" s="120"/>
      <c r="O34" s="4"/>
      <c r="Q34" s="5"/>
    </row>
    <row r="35" spans="1:17" ht="18" customHeight="1">
      <c r="A35" s="46" t="s">
        <v>31</v>
      </c>
      <c r="B35" s="47" t="s">
        <v>32</v>
      </c>
      <c r="C35" s="73">
        <f aca="true" t="shared" si="1" ref="C35:J35">+C33-C34</f>
        <v>6958.4400000000105</v>
      </c>
      <c r="D35" s="64">
        <f t="shared" si="1"/>
        <v>5046.7629659000495</v>
      </c>
      <c r="E35" s="74">
        <f t="shared" si="1"/>
        <v>2396.55</v>
      </c>
      <c r="F35" s="64">
        <f t="shared" si="1"/>
        <v>2003.9900000000125</v>
      </c>
      <c r="G35" s="74">
        <f t="shared" si="1"/>
        <v>12289.361525599912</v>
      </c>
      <c r="H35" s="64">
        <f t="shared" si="1"/>
        <v>3437.5799999999736</v>
      </c>
      <c r="I35" s="64">
        <f t="shared" si="1"/>
        <v>6809.890000000014</v>
      </c>
      <c r="J35" s="64">
        <f t="shared" si="1"/>
        <v>-8791</v>
      </c>
      <c r="K35" s="45"/>
      <c r="L35" s="119"/>
      <c r="M35" s="119"/>
      <c r="N35" s="119"/>
      <c r="O35" s="4"/>
      <c r="P35" s="69"/>
      <c r="Q35" s="5"/>
    </row>
    <row r="36" spans="1:17" ht="18" customHeight="1">
      <c r="A36" s="46"/>
      <c r="B36" s="47" t="s">
        <v>33</v>
      </c>
      <c r="C36" s="65"/>
      <c r="D36" s="66"/>
      <c r="E36" s="67"/>
      <c r="F36" s="61"/>
      <c r="G36" s="43"/>
      <c r="H36" s="64"/>
      <c r="I36" s="64"/>
      <c r="J36" s="64"/>
      <c r="K36" s="45"/>
      <c r="L36" s="119"/>
      <c r="M36" s="119"/>
      <c r="N36" s="119"/>
      <c r="O36" s="4"/>
      <c r="Q36" s="5">
        <v>64.18</v>
      </c>
    </row>
    <row r="37" spans="1:17" ht="18" customHeight="1">
      <c r="A37" s="46" t="s">
        <v>34</v>
      </c>
      <c r="B37" s="47" t="s">
        <v>35</v>
      </c>
      <c r="C37" s="65">
        <v>0</v>
      </c>
      <c r="D37" s="66"/>
      <c r="E37" s="67"/>
      <c r="F37" s="1">
        <v>0</v>
      </c>
      <c r="G37" s="3">
        <f>5407.13-8902.35-1176.67</f>
        <v>-4671.89</v>
      </c>
      <c r="H37" s="2">
        <v>-327.21</v>
      </c>
      <c r="I37" s="64">
        <v>-4671.89</v>
      </c>
      <c r="J37" s="64">
        <v>-327</v>
      </c>
      <c r="K37" s="45"/>
      <c r="L37" s="119"/>
      <c r="M37" s="119"/>
      <c r="N37" s="119"/>
      <c r="O37" s="4">
        <v>-4618.6957158000005</v>
      </c>
      <c r="P37" s="69">
        <f>G37-O37</f>
        <v>-53.194284199999856</v>
      </c>
      <c r="Q37" s="5"/>
    </row>
    <row r="38" spans="1:17" ht="18" customHeight="1">
      <c r="A38" s="46" t="s">
        <v>36</v>
      </c>
      <c r="B38" s="47" t="s">
        <v>37</v>
      </c>
      <c r="C38" s="73">
        <f aca="true" t="shared" si="2" ref="C38:J38">+C35+C37</f>
        <v>6958.4400000000105</v>
      </c>
      <c r="D38" s="64">
        <f t="shared" si="2"/>
        <v>5046.7629659000495</v>
      </c>
      <c r="E38" s="77">
        <f t="shared" si="2"/>
        <v>2396.55</v>
      </c>
      <c r="F38" s="64">
        <f t="shared" si="2"/>
        <v>2003.9900000000125</v>
      </c>
      <c r="G38" s="64">
        <f t="shared" si="2"/>
        <v>7617.471525599912</v>
      </c>
      <c r="H38" s="64">
        <f t="shared" si="2"/>
        <v>3110.3699999999735</v>
      </c>
      <c r="I38" s="64">
        <f t="shared" si="2"/>
        <v>2138.0000000000136</v>
      </c>
      <c r="J38" s="64">
        <f t="shared" si="2"/>
        <v>-9118</v>
      </c>
      <c r="K38" s="45"/>
      <c r="L38" s="119">
        <f>'[8]comparision'!$D$94-2</f>
        <v>5034.63</v>
      </c>
      <c r="M38" s="119">
        <f>L38-D38</f>
        <v>-12.132965900049385</v>
      </c>
      <c r="N38" s="119"/>
      <c r="O38" s="4">
        <v>7609.793956399935</v>
      </c>
      <c r="P38" s="69">
        <f>G38-O38</f>
        <v>7.67756919997646</v>
      </c>
      <c r="Q38" s="5"/>
    </row>
    <row r="39" spans="1:17" ht="18" customHeight="1">
      <c r="A39" s="46"/>
      <c r="B39" s="47" t="s">
        <v>38</v>
      </c>
      <c r="C39" s="65"/>
      <c r="D39" s="66"/>
      <c r="E39" s="67"/>
      <c r="F39" s="61"/>
      <c r="G39" s="63"/>
      <c r="H39" s="64"/>
      <c r="I39" s="64"/>
      <c r="J39" s="64"/>
      <c r="K39" s="45"/>
      <c r="L39" s="119"/>
      <c r="M39" s="119"/>
      <c r="N39" s="119"/>
      <c r="O39" s="4"/>
      <c r="Q39" s="5"/>
    </row>
    <row r="40" spans="1:17" ht="18" customHeight="1">
      <c r="A40" s="46" t="s">
        <v>39</v>
      </c>
      <c r="B40" s="47" t="s">
        <v>40</v>
      </c>
      <c r="C40" s="65">
        <v>338</v>
      </c>
      <c r="D40" s="74">
        <f>1154-145</f>
        <v>1009</v>
      </c>
      <c r="E40" s="74">
        <v>750</v>
      </c>
      <c r="F40" s="74">
        <v>192</v>
      </c>
      <c r="G40" s="74">
        <f>'[5]Sheet1 (2)'!$U$30</f>
        <v>-1184.25</v>
      </c>
      <c r="H40" s="64">
        <v>1.55</v>
      </c>
      <c r="I40" s="64">
        <v>-1220</v>
      </c>
      <c r="J40" s="64">
        <v>-2700</v>
      </c>
      <c r="K40" s="45"/>
      <c r="L40" s="119"/>
      <c r="M40" s="119"/>
      <c r="N40" s="119"/>
      <c r="O40" s="4"/>
      <c r="Q40" s="5"/>
    </row>
    <row r="41" spans="1:17" ht="18" customHeight="1">
      <c r="A41" s="46" t="s">
        <v>125</v>
      </c>
      <c r="B41" s="47" t="s">
        <v>41</v>
      </c>
      <c r="C41" s="65"/>
      <c r="D41" s="66"/>
      <c r="E41" s="67"/>
      <c r="F41" s="61"/>
      <c r="G41" s="63"/>
      <c r="H41" s="64"/>
      <c r="I41" s="64"/>
      <c r="J41" s="64"/>
      <c r="K41" s="45"/>
      <c r="L41" s="119"/>
      <c r="M41" s="119"/>
      <c r="N41" s="119"/>
      <c r="O41" s="4"/>
      <c r="Q41" s="5"/>
    </row>
    <row r="42" spans="1:17" ht="18" customHeight="1">
      <c r="A42" s="70"/>
      <c r="B42" s="47" t="s">
        <v>42</v>
      </c>
      <c r="C42" s="73">
        <f aca="true" t="shared" si="3" ref="C42:J42">+C38-C40</f>
        <v>6620.4400000000105</v>
      </c>
      <c r="D42" s="64">
        <f t="shared" si="3"/>
        <v>4037.7629659000495</v>
      </c>
      <c r="E42" s="77">
        <f t="shared" si="3"/>
        <v>1646.5500000000002</v>
      </c>
      <c r="F42" s="64">
        <f t="shared" si="3"/>
        <v>1811.9900000000125</v>
      </c>
      <c r="G42" s="74">
        <f t="shared" si="3"/>
        <v>8801.72152559991</v>
      </c>
      <c r="H42" s="64">
        <f t="shared" si="3"/>
        <v>3108.8199999999733</v>
      </c>
      <c r="I42" s="64">
        <f t="shared" si="3"/>
        <v>3358.0000000000136</v>
      </c>
      <c r="J42" s="64">
        <f t="shared" si="3"/>
        <v>-6418</v>
      </c>
      <c r="K42" s="45"/>
      <c r="L42" s="119"/>
      <c r="M42" s="119"/>
      <c r="N42" s="119"/>
      <c r="O42" s="4"/>
      <c r="Q42" s="5"/>
    </row>
    <row r="43" spans="1:17" ht="18" customHeight="1">
      <c r="A43" s="70" t="s">
        <v>59</v>
      </c>
      <c r="B43" s="47" t="s">
        <v>122</v>
      </c>
      <c r="C43" s="172"/>
      <c r="D43" s="64"/>
      <c r="E43" s="77"/>
      <c r="F43" s="64"/>
      <c r="G43" s="74"/>
      <c r="H43" s="64"/>
      <c r="I43" s="64">
        <v>1</v>
      </c>
      <c r="J43" s="64">
        <v>98</v>
      </c>
      <c r="K43" s="45"/>
      <c r="L43" s="119"/>
      <c r="M43" s="119"/>
      <c r="N43" s="119"/>
      <c r="O43" s="4"/>
      <c r="Q43" s="5"/>
    </row>
    <row r="44" spans="1:17" ht="18" customHeight="1">
      <c r="A44" s="46" t="s">
        <v>43</v>
      </c>
      <c r="B44" s="47" t="s">
        <v>44</v>
      </c>
      <c r="C44" s="65"/>
      <c r="D44" s="66"/>
      <c r="E44" s="67"/>
      <c r="F44" s="68">
        <v>0</v>
      </c>
      <c r="G44" s="74">
        <v>0</v>
      </c>
      <c r="H44" s="64">
        <v>0</v>
      </c>
      <c r="I44" s="64"/>
      <c r="J44" s="64">
        <v>0</v>
      </c>
      <c r="K44" s="64"/>
      <c r="L44" s="121"/>
      <c r="M44" s="121"/>
      <c r="N44" s="121"/>
      <c r="O44" s="4"/>
      <c r="Q44" s="5"/>
    </row>
    <row r="45" spans="1:17" ht="18" customHeight="1">
      <c r="A45" s="46" t="s">
        <v>45</v>
      </c>
      <c r="B45" s="47" t="s">
        <v>46</v>
      </c>
      <c r="C45" s="73">
        <f aca="true" t="shared" si="4" ref="C45:H45">+C42-C44</f>
        <v>6620.4400000000105</v>
      </c>
      <c r="D45" s="64">
        <f t="shared" si="4"/>
        <v>4037.7629659000495</v>
      </c>
      <c r="E45" s="77">
        <f t="shared" si="4"/>
        <v>1646.5500000000002</v>
      </c>
      <c r="F45" s="64">
        <f t="shared" si="4"/>
        <v>1811.9900000000125</v>
      </c>
      <c r="G45" s="74">
        <f t="shared" si="4"/>
        <v>8801.72152559991</v>
      </c>
      <c r="H45" s="64">
        <f t="shared" si="4"/>
        <v>3108.8199999999733</v>
      </c>
      <c r="I45" s="64">
        <f>+I42-I44+I43</f>
        <v>3359.0000000000136</v>
      </c>
      <c r="J45" s="64">
        <f>+J42-J44+J43</f>
        <v>-6320</v>
      </c>
      <c r="K45" s="45"/>
      <c r="L45" s="119"/>
      <c r="M45" s="119"/>
      <c r="N45" s="119"/>
      <c r="O45" s="4"/>
      <c r="Q45" s="5"/>
    </row>
    <row r="46" spans="1:17" ht="18" customHeight="1">
      <c r="A46" s="46" t="s">
        <v>47</v>
      </c>
      <c r="B46" s="47" t="s">
        <v>48</v>
      </c>
      <c r="C46" s="65"/>
      <c r="D46" s="66"/>
      <c r="E46" s="67"/>
      <c r="F46" s="61"/>
      <c r="G46" s="43"/>
      <c r="H46" s="64"/>
      <c r="I46" s="64"/>
      <c r="J46" s="64"/>
      <c r="K46" s="45"/>
      <c r="L46" s="119"/>
      <c r="M46" s="119"/>
      <c r="N46" s="119"/>
      <c r="O46" s="4"/>
      <c r="Q46" s="5"/>
    </row>
    <row r="47" spans="1:17" ht="18" customHeight="1">
      <c r="A47" s="46"/>
      <c r="B47" s="47" t="s">
        <v>49</v>
      </c>
      <c r="C47" s="65">
        <v>2375</v>
      </c>
      <c r="D47" s="68">
        <v>2375</v>
      </c>
      <c r="E47" s="62">
        <v>2375</v>
      </c>
      <c r="F47" s="68">
        <v>2375</v>
      </c>
      <c r="G47" s="43">
        <v>2375</v>
      </c>
      <c r="H47" s="64">
        <v>2375</v>
      </c>
      <c r="I47" s="64">
        <v>2375</v>
      </c>
      <c r="J47" s="64">
        <v>2375</v>
      </c>
      <c r="K47" s="45"/>
      <c r="L47" s="119"/>
      <c r="M47" s="119"/>
      <c r="N47" s="119"/>
      <c r="O47" s="4"/>
      <c r="Q47" s="5"/>
    </row>
    <row r="48" spans="1:17" ht="18" customHeight="1">
      <c r="A48" s="46" t="s">
        <v>50</v>
      </c>
      <c r="B48" s="79" t="s">
        <v>51</v>
      </c>
      <c r="C48" s="73"/>
      <c r="D48" s="66"/>
      <c r="E48" s="66"/>
      <c r="F48" s="66">
        <v>0</v>
      </c>
      <c r="G48" s="66">
        <v>0</v>
      </c>
      <c r="H48" s="80">
        <f>80587-1663-283</f>
        <v>78641</v>
      </c>
      <c r="I48" s="64">
        <v>393523.89110000565</v>
      </c>
      <c r="J48" s="64">
        <v>61643</v>
      </c>
      <c r="K48" s="81"/>
      <c r="L48" s="122"/>
      <c r="M48" s="122"/>
      <c r="N48" s="122"/>
      <c r="O48" s="4"/>
      <c r="Q48" s="5"/>
    </row>
    <row r="49" spans="1:17" ht="18" customHeight="1">
      <c r="A49" s="46"/>
      <c r="B49" s="47" t="s">
        <v>52</v>
      </c>
      <c r="C49" s="60"/>
      <c r="D49" s="61"/>
      <c r="E49" s="62"/>
      <c r="F49" s="61"/>
      <c r="G49" s="63"/>
      <c r="H49" s="64"/>
      <c r="I49" s="80"/>
      <c r="J49" s="80"/>
      <c r="K49" s="45"/>
      <c r="L49" s="119"/>
      <c r="M49" s="119"/>
      <c r="N49" s="119"/>
      <c r="O49" s="4"/>
      <c r="Q49" s="5"/>
    </row>
    <row r="50" spans="1:17" ht="18" customHeight="1">
      <c r="A50" s="46" t="s">
        <v>53</v>
      </c>
      <c r="B50" s="47" t="s">
        <v>54</v>
      </c>
      <c r="C50" s="60"/>
      <c r="D50" s="61"/>
      <c r="E50" s="62"/>
      <c r="F50" s="61"/>
      <c r="G50" s="63"/>
      <c r="H50" s="64"/>
      <c r="I50" s="64"/>
      <c r="J50" s="64"/>
      <c r="K50" s="45"/>
      <c r="L50" s="119"/>
      <c r="M50" s="119"/>
      <c r="N50" s="119"/>
      <c r="O50" s="4"/>
      <c r="Q50" s="5"/>
    </row>
    <row r="51" spans="1:17" ht="18" customHeight="1">
      <c r="A51" s="46" t="s">
        <v>55</v>
      </c>
      <c r="B51" s="47" t="s">
        <v>56</v>
      </c>
      <c r="C51" s="60"/>
      <c r="D51" s="61"/>
      <c r="E51" s="62"/>
      <c r="F51" s="61"/>
      <c r="G51" s="63"/>
      <c r="H51" s="64"/>
      <c r="I51" s="64"/>
      <c r="J51" s="64"/>
      <c r="K51" s="82"/>
      <c r="L51" s="123"/>
      <c r="M51" s="123"/>
      <c r="N51" s="123"/>
      <c r="O51" s="4"/>
      <c r="Q51" s="5"/>
    </row>
    <row r="52" spans="1:17" ht="18" customHeight="1">
      <c r="A52" s="70"/>
      <c r="B52" s="47" t="s">
        <v>57</v>
      </c>
      <c r="C52" s="60"/>
      <c r="D52" s="61"/>
      <c r="E52" s="62"/>
      <c r="F52" s="61"/>
      <c r="G52" s="63"/>
      <c r="H52" s="64"/>
      <c r="I52" s="64"/>
      <c r="J52" s="64"/>
      <c r="K52" s="82"/>
      <c r="L52" s="123"/>
      <c r="M52" s="123"/>
      <c r="N52" s="123"/>
      <c r="O52" s="4"/>
      <c r="Q52" s="5"/>
    </row>
    <row r="53" spans="1:17" ht="18" customHeight="1">
      <c r="A53" s="70"/>
      <c r="B53" s="47" t="s">
        <v>58</v>
      </c>
      <c r="C53" s="83">
        <f aca="true" t="shared" si="5" ref="C53:J53">C45/C47</f>
        <v>2.787553684210531</v>
      </c>
      <c r="D53" s="77">
        <f t="shared" si="5"/>
        <v>1.7001107224842313</v>
      </c>
      <c r="E53" s="77">
        <f t="shared" si="5"/>
        <v>0.6932842105263158</v>
      </c>
      <c r="F53" s="77">
        <f t="shared" si="5"/>
        <v>0.7629431578947421</v>
      </c>
      <c r="G53" s="77">
        <f>G45/G47</f>
        <v>3.70598801077891</v>
      </c>
      <c r="H53" s="64">
        <f t="shared" si="5"/>
        <v>1.308976842105252</v>
      </c>
      <c r="I53" s="74">
        <f t="shared" si="5"/>
        <v>1.41431578947369</v>
      </c>
      <c r="J53" s="74">
        <f t="shared" si="5"/>
        <v>-2.6610526315789476</v>
      </c>
      <c r="K53" s="82"/>
      <c r="L53" s="123"/>
      <c r="M53" s="123"/>
      <c r="N53" s="123"/>
      <c r="O53" s="4"/>
      <c r="Q53" s="5"/>
    </row>
    <row r="54" spans="1:17" ht="18" customHeight="1">
      <c r="A54" s="46" t="s">
        <v>59</v>
      </c>
      <c r="B54" s="47" t="s">
        <v>60</v>
      </c>
      <c r="C54" s="60"/>
      <c r="D54" s="61"/>
      <c r="E54" s="62"/>
      <c r="F54" s="61"/>
      <c r="G54" s="63"/>
      <c r="H54" s="64"/>
      <c r="I54" s="64"/>
      <c r="J54" s="64"/>
      <c r="K54" s="82"/>
      <c r="L54" s="123"/>
      <c r="M54" s="123"/>
      <c r="N54" s="123"/>
      <c r="O54" s="4"/>
      <c r="Q54" s="5"/>
    </row>
    <row r="55" spans="1:17" ht="18" customHeight="1">
      <c r="A55" s="70"/>
      <c r="B55" s="47" t="s">
        <v>57</v>
      </c>
      <c r="C55" s="60"/>
      <c r="D55" s="61"/>
      <c r="E55" s="62"/>
      <c r="F55" s="61"/>
      <c r="G55" s="63"/>
      <c r="H55" s="64"/>
      <c r="I55" s="64"/>
      <c r="J55" s="64"/>
      <c r="K55" s="82"/>
      <c r="L55" s="123"/>
      <c r="M55" s="123"/>
      <c r="N55" s="123"/>
      <c r="O55" s="4"/>
      <c r="Q55" s="5"/>
    </row>
    <row r="56" spans="1:17" ht="18" customHeight="1">
      <c r="A56" s="70"/>
      <c r="B56" s="47" t="s">
        <v>58</v>
      </c>
      <c r="C56" s="83">
        <f aca="true" t="shared" si="6" ref="C56:J56">C45/C47</f>
        <v>2.787553684210531</v>
      </c>
      <c r="D56" s="77">
        <f t="shared" si="6"/>
        <v>1.7001107224842313</v>
      </c>
      <c r="E56" s="77">
        <f t="shared" si="6"/>
        <v>0.6932842105263158</v>
      </c>
      <c r="F56" s="77">
        <f t="shared" si="6"/>
        <v>0.7629431578947421</v>
      </c>
      <c r="G56" s="77">
        <f t="shared" si="6"/>
        <v>3.70598801077891</v>
      </c>
      <c r="H56" s="64">
        <f t="shared" si="6"/>
        <v>1.308976842105252</v>
      </c>
      <c r="I56" s="74">
        <f t="shared" si="6"/>
        <v>1.41431578947369</v>
      </c>
      <c r="J56" s="74">
        <f t="shared" si="6"/>
        <v>-2.6610526315789476</v>
      </c>
      <c r="K56" s="82"/>
      <c r="L56" s="123"/>
      <c r="M56" s="123"/>
      <c r="N56" s="123"/>
      <c r="O56" s="4"/>
      <c r="Q56" s="5"/>
    </row>
    <row r="57" spans="1:17" ht="18" customHeight="1">
      <c r="A57" s="46" t="s">
        <v>61</v>
      </c>
      <c r="B57" s="47" t="s">
        <v>62</v>
      </c>
      <c r="C57" s="60"/>
      <c r="D57" s="61"/>
      <c r="E57" s="62"/>
      <c r="F57" s="61"/>
      <c r="G57" s="63"/>
      <c r="H57" s="64"/>
      <c r="I57" s="64"/>
      <c r="J57" s="64"/>
      <c r="K57" s="82"/>
      <c r="L57" s="123"/>
      <c r="M57" s="123"/>
      <c r="N57" s="123"/>
      <c r="O57" s="4"/>
      <c r="Q57" s="5"/>
    </row>
    <row r="58" spans="1:17" ht="18" customHeight="1">
      <c r="A58" s="70"/>
      <c r="B58" s="79" t="s">
        <v>63</v>
      </c>
      <c r="C58" s="84">
        <v>93955664</v>
      </c>
      <c r="D58" s="85">
        <v>93955664</v>
      </c>
      <c r="E58" s="86">
        <v>101202164</v>
      </c>
      <c r="F58" s="85">
        <v>93955664</v>
      </c>
      <c r="G58" s="85">
        <v>93955664</v>
      </c>
      <c r="H58" s="85">
        <v>101202164</v>
      </c>
      <c r="I58" s="64"/>
      <c r="J58" s="64"/>
      <c r="K58" s="45"/>
      <c r="L58" s="119"/>
      <c r="M58" s="119"/>
      <c r="N58" s="119"/>
      <c r="O58" s="4"/>
      <c r="Q58" s="5"/>
    </row>
    <row r="59" spans="1:17" ht="18" customHeight="1">
      <c r="A59" s="70"/>
      <c r="B59" s="79" t="s">
        <v>64</v>
      </c>
      <c r="C59" s="83">
        <v>39.55</v>
      </c>
      <c r="D59" s="64">
        <f>D58/(D58+D68)*100</f>
        <v>39.55302563731502</v>
      </c>
      <c r="E59" s="86">
        <v>42.6</v>
      </c>
      <c r="F59" s="64">
        <f>F58/(F58+F68)*100</f>
        <v>39.55302563731502</v>
      </c>
      <c r="G59" s="85">
        <v>39.55</v>
      </c>
      <c r="H59" s="64">
        <v>42.6</v>
      </c>
      <c r="I59" s="85"/>
      <c r="J59" s="85"/>
      <c r="K59" s="45"/>
      <c r="L59" s="119"/>
      <c r="M59" s="119"/>
      <c r="N59" s="119"/>
      <c r="O59" s="4"/>
      <c r="Q59" s="5"/>
    </row>
    <row r="60" spans="1:17" ht="18" customHeight="1">
      <c r="A60" s="46" t="s">
        <v>65</v>
      </c>
      <c r="B60" s="47" t="s">
        <v>66</v>
      </c>
      <c r="C60" s="60"/>
      <c r="D60" s="61"/>
      <c r="E60" s="62"/>
      <c r="F60" s="61"/>
      <c r="G60" s="63"/>
      <c r="H60" s="64"/>
      <c r="I60" s="64"/>
      <c r="J60" s="64"/>
      <c r="K60" s="45"/>
      <c r="L60" s="119"/>
      <c r="M60" s="119"/>
      <c r="N60" s="119"/>
      <c r="O60" s="4"/>
      <c r="Q60" s="5"/>
    </row>
    <row r="61" spans="1:17" ht="18" customHeight="1">
      <c r="A61" s="46" t="s">
        <v>55</v>
      </c>
      <c r="B61" s="47" t="s">
        <v>67</v>
      </c>
      <c r="C61" s="60"/>
      <c r="D61" s="61"/>
      <c r="E61" s="62"/>
      <c r="F61" s="61"/>
      <c r="G61" s="63"/>
      <c r="H61" s="64"/>
      <c r="I61" s="64"/>
      <c r="J61" s="64"/>
      <c r="K61" s="45"/>
      <c r="L61" s="119"/>
      <c r="M61" s="119"/>
      <c r="N61" s="119"/>
      <c r="O61" s="4"/>
      <c r="Q61" s="5"/>
    </row>
    <row r="62" spans="1:17" ht="18" customHeight="1">
      <c r="A62" s="46"/>
      <c r="B62" s="79" t="s">
        <v>63</v>
      </c>
      <c r="C62" s="87" t="s">
        <v>68</v>
      </c>
      <c r="D62" s="115" t="s">
        <v>68</v>
      </c>
      <c r="E62" s="115" t="s">
        <v>68</v>
      </c>
      <c r="F62" s="115" t="s">
        <v>68</v>
      </c>
      <c r="G62" s="115" t="s">
        <v>68</v>
      </c>
      <c r="H62" s="116" t="s">
        <v>68</v>
      </c>
      <c r="I62" s="64"/>
      <c r="J62" s="64"/>
      <c r="K62" s="45"/>
      <c r="L62" s="119"/>
      <c r="M62" s="119"/>
      <c r="N62" s="119"/>
      <c r="O62" s="4"/>
      <c r="Q62" s="5"/>
    </row>
    <row r="63" spans="1:17" ht="18" customHeight="1">
      <c r="A63" s="46"/>
      <c r="B63" s="79" t="s">
        <v>69</v>
      </c>
      <c r="C63" s="87"/>
      <c r="D63" s="115"/>
      <c r="E63" s="115"/>
      <c r="F63" s="115"/>
      <c r="G63" s="115"/>
      <c r="H63" s="116"/>
      <c r="I63" s="116"/>
      <c r="J63" s="116"/>
      <c r="K63" s="45"/>
      <c r="L63" s="119"/>
      <c r="M63" s="119"/>
      <c r="N63" s="119"/>
      <c r="O63" s="4"/>
      <c r="Q63" s="5"/>
    </row>
    <row r="64" spans="1:17" ht="18" customHeight="1">
      <c r="A64" s="46"/>
      <c r="B64" s="47" t="s">
        <v>70</v>
      </c>
      <c r="C64" s="87" t="s">
        <v>68</v>
      </c>
      <c r="D64" s="115" t="s">
        <v>68</v>
      </c>
      <c r="E64" s="115" t="s">
        <v>68</v>
      </c>
      <c r="F64" s="115" t="s">
        <v>68</v>
      </c>
      <c r="G64" s="115" t="s">
        <v>68</v>
      </c>
      <c r="H64" s="116" t="s">
        <v>68</v>
      </c>
      <c r="I64" s="116"/>
      <c r="J64" s="116"/>
      <c r="K64" s="45"/>
      <c r="L64" s="119"/>
      <c r="M64" s="119"/>
      <c r="N64" s="119"/>
      <c r="O64" s="4"/>
      <c r="Q64" s="5"/>
    </row>
    <row r="65" spans="1:17" ht="18" customHeight="1">
      <c r="A65" s="46"/>
      <c r="B65" s="79" t="s">
        <v>71</v>
      </c>
      <c r="C65" s="87"/>
      <c r="D65" s="115"/>
      <c r="E65" s="115"/>
      <c r="F65" s="115"/>
      <c r="G65" s="115"/>
      <c r="H65" s="116"/>
      <c r="I65" s="116"/>
      <c r="J65" s="116"/>
      <c r="K65" s="45"/>
      <c r="L65" s="119"/>
      <c r="M65" s="119"/>
      <c r="N65" s="119"/>
      <c r="O65" s="4"/>
      <c r="Q65" s="5"/>
    </row>
    <row r="66" spans="1:17" ht="18" customHeight="1">
      <c r="A66" s="46"/>
      <c r="B66" s="47" t="s">
        <v>72</v>
      </c>
      <c r="C66" s="87" t="s">
        <v>68</v>
      </c>
      <c r="D66" s="115" t="s">
        <v>68</v>
      </c>
      <c r="E66" s="115" t="s">
        <v>68</v>
      </c>
      <c r="F66" s="115" t="s">
        <v>68</v>
      </c>
      <c r="G66" s="115" t="s">
        <v>68</v>
      </c>
      <c r="H66" s="116" t="s">
        <v>68</v>
      </c>
      <c r="I66" s="116"/>
      <c r="J66" s="116"/>
      <c r="K66" s="45"/>
      <c r="L66" s="119"/>
      <c r="M66" s="119"/>
      <c r="N66" s="119"/>
      <c r="O66" s="4"/>
      <c r="Q66" s="5"/>
    </row>
    <row r="67" spans="1:17" ht="18" customHeight="1">
      <c r="A67" s="46" t="s">
        <v>59</v>
      </c>
      <c r="B67" s="47" t="s">
        <v>73</v>
      </c>
      <c r="C67" s="60"/>
      <c r="D67" s="61"/>
      <c r="E67" s="62"/>
      <c r="F67" s="61"/>
      <c r="G67" s="63"/>
      <c r="H67" s="64"/>
      <c r="I67" s="116"/>
      <c r="J67" s="116"/>
      <c r="K67" s="45"/>
      <c r="L67" s="119"/>
      <c r="M67" s="119"/>
      <c r="N67" s="119"/>
      <c r="O67" s="4"/>
      <c r="Q67" s="5"/>
    </row>
    <row r="68" spans="1:17" ht="18" customHeight="1">
      <c r="A68" s="46"/>
      <c r="B68" s="79" t="s">
        <v>63</v>
      </c>
      <c r="C68" s="84">
        <v>143587893</v>
      </c>
      <c r="D68" s="85">
        <v>143587893</v>
      </c>
      <c r="E68" s="88">
        <f>115341393+21000000</f>
        <v>136341393</v>
      </c>
      <c r="F68" s="85">
        <v>143587893</v>
      </c>
      <c r="G68" s="85">
        <v>143587893</v>
      </c>
      <c r="H68" s="89">
        <f>115341393+21000000</f>
        <v>136341393</v>
      </c>
      <c r="I68" s="64"/>
      <c r="J68" s="64"/>
      <c r="K68" s="45"/>
      <c r="L68" s="119"/>
      <c r="M68" s="119"/>
      <c r="N68" s="119"/>
      <c r="O68" s="4"/>
      <c r="Q68" s="5"/>
    </row>
    <row r="69" spans="1:17" ht="18" customHeight="1">
      <c r="A69" s="46"/>
      <c r="B69" s="79" t="s">
        <v>69</v>
      </c>
      <c r="C69" s="84"/>
      <c r="D69" s="90"/>
      <c r="E69" s="86"/>
      <c r="F69" s="90"/>
      <c r="G69" s="63"/>
      <c r="H69" s="64"/>
      <c r="I69" s="89"/>
      <c r="J69" s="89"/>
      <c r="K69" s="45"/>
      <c r="L69" s="119"/>
      <c r="M69" s="119"/>
      <c r="N69" s="119"/>
      <c r="O69" s="4"/>
      <c r="Q69" s="5"/>
    </row>
    <row r="70" spans="1:17" ht="18" customHeight="1">
      <c r="A70" s="46"/>
      <c r="B70" s="47" t="s">
        <v>70</v>
      </c>
      <c r="C70" s="60">
        <v>100</v>
      </c>
      <c r="D70" s="91">
        <v>100</v>
      </c>
      <c r="E70" s="62">
        <v>100</v>
      </c>
      <c r="F70" s="91">
        <v>100</v>
      </c>
      <c r="G70" s="91">
        <v>100</v>
      </c>
      <c r="H70" s="64">
        <v>100</v>
      </c>
      <c r="I70" s="64"/>
      <c r="J70" s="64"/>
      <c r="K70" s="45"/>
      <c r="L70" s="119"/>
      <c r="M70" s="119"/>
      <c r="N70" s="119"/>
      <c r="O70" s="4"/>
      <c r="Q70" s="5"/>
    </row>
    <row r="71" spans="1:17" ht="18" customHeight="1">
      <c r="A71" s="46"/>
      <c r="B71" s="79" t="s">
        <v>71</v>
      </c>
      <c r="C71" s="84"/>
      <c r="D71" s="90"/>
      <c r="E71" s="86"/>
      <c r="F71" s="90"/>
      <c r="G71" s="90"/>
      <c r="H71" s="64"/>
      <c r="I71" s="64"/>
      <c r="J71" s="64"/>
      <c r="K71" s="45"/>
      <c r="L71" s="119"/>
      <c r="M71" s="119"/>
      <c r="N71" s="119"/>
      <c r="O71" s="4"/>
      <c r="Q71" s="5"/>
    </row>
    <row r="72" spans="1:17" ht="18" customHeight="1">
      <c r="A72" s="46"/>
      <c r="B72" s="47" t="s">
        <v>72</v>
      </c>
      <c r="C72" s="60">
        <v>60.45</v>
      </c>
      <c r="D72" s="125">
        <f>D70-D59</f>
        <v>60.44697436268498</v>
      </c>
      <c r="E72" s="62">
        <v>57.4</v>
      </c>
      <c r="F72" s="125">
        <f>F70-F59</f>
        <v>60.44697436268498</v>
      </c>
      <c r="G72" s="91">
        <v>60.45</v>
      </c>
      <c r="H72" s="64">
        <v>57.4</v>
      </c>
      <c r="I72" s="64"/>
      <c r="J72" s="64"/>
      <c r="K72" s="45"/>
      <c r="L72" s="119"/>
      <c r="M72" s="119"/>
      <c r="N72" s="119"/>
      <c r="O72" s="4"/>
      <c r="Q72" s="5"/>
    </row>
    <row r="73" spans="1:17" ht="13.5" customHeight="1">
      <c r="A73" s="92"/>
      <c r="B73" s="93"/>
      <c r="C73" s="94"/>
      <c r="D73" s="95"/>
      <c r="E73" s="96"/>
      <c r="F73" s="95"/>
      <c r="G73" s="97"/>
      <c r="H73" s="98"/>
      <c r="I73" s="57"/>
      <c r="J73" s="58"/>
      <c r="K73" s="63"/>
      <c r="O73" s="4"/>
      <c r="Q73" s="5"/>
    </row>
    <row r="74" spans="1:17" ht="18" customHeight="1">
      <c r="A74" s="100"/>
      <c r="B74" s="101"/>
      <c r="C74" s="102"/>
      <c r="D74" s="101"/>
      <c r="E74" s="102"/>
      <c r="F74" s="101"/>
      <c r="G74" s="101"/>
      <c r="H74" s="165"/>
      <c r="I74" s="166"/>
      <c r="J74" s="184"/>
      <c r="K74" s="12"/>
      <c r="O74" s="4"/>
      <c r="Q74" s="5"/>
    </row>
    <row r="75" spans="1:20" s="4" customFormat="1" ht="18" customHeight="1">
      <c r="A75" s="112" t="s">
        <v>74</v>
      </c>
      <c r="B75" s="13"/>
      <c r="C75" s="14"/>
      <c r="D75" s="13"/>
      <c r="E75" s="14"/>
      <c r="H75" s="103"/>
      <c r="I75" s="103"/>
      <c r="J75" s="185"/>
      <c r="K75" s="12"/>
      <c r="Q75" s="104"/>
      <c r="R75" s="5"/>
      <c r="S75" s="5"/>
      <c r="T75" s="5"/>
    </row>
    <row r="76" spans="1:17" s="4" customFormat="1" ht="18" customHeight="1">
      <c r="A76" s="113">
        <v>1</v>
      </c>
      <c r="B76" s="105" t="s">
        <v>96</v>
      </c>
      <c r="C76" s="126"/>
      <c r="D76" s="105"/>
      <c r="E76" s="126"/>
      <c r="H76" s="103"/>
      <c r="I76" s="103"/>
      <c r="J76" s="185"/>
      <c r="K76" s="12"/>
      <c r="N76" s="104"/>
      <c r="O76" s="5"/>
      <c r="P76" s="5"/>
      <c r="Q76" s="5"/>
    </row>
    <row r="77" spans="1:17" s="4" customFormat="1" ht="18" customHeight="1">
      <c r="A77" s="113">
        <v>2</v>
      </c>
      <c r="B77" s="105" t="s">
        <v>113</v>
      </c>
      <c r="C77" s="126"/>
      <c r="D77" s="105"/>
      <c r="E77" s="126"/>
      <c r="H77" s="103"/>
      <c r="I77" s="103"/>
      <c r="J77" s="185"/>
      <c r="K77" s="12"/>
      <c r="Q77" s="5"/>
    </row>
    <row r="78" spans="1:17" s="4" customFormat="1" ht="18" customHeight="1">
      <c r="A78" s="113"/>
      <c r="B78" s="13" t="s">
        <v>114</v>
      </c>
      <c r="C78" s="14"/>
      <c r="D78" s="105"/>
      <c r="E78" s="126"/>
      <c r="H78" s="103"/>
      <c r="I78" s="103"/>
      <c r="J78" s="185"/>
      <c r="K78" s="12"/>
      <c r="Q78" s="5"/>
    </row>
    <row r="79" spans="1:17" s="4" customFormat="1" ht="18" customHeight="1">
      <c r="A79" s="113">
        <v>3</v>
      </c>
      <c r="B79" s="13" t="s">
        <v>97</v>
      </c>
      <c r="C79" s="14"/>
      <c r="D79" s="13"/>
      <c r="E79" s="14"/>
      <c r="H79" s="150" t="s">
        <v>98</v>
      </c>
      <c r="I79" s="150"/>
      <c r="J79" s="186"/>
      <c r="K79" s="149"/>
      <c r="Q79" s="5"/>
    </row>
    <row r="80" spans="1:17" s="4" customFormat="1" ht="18" customHeight="1">
      <c r="A80" s="113"/>
      <c r="B80" s="127"/>
      <c r="C80" s="102"/>
      <c r="D80" s="379" t="s">
        <v>78</v>
      </c>
      <c r="E80" s="21"/>
      <c r="F80" s="379" t="s">
        <v>90</v>
      </c>
      <c r="G80" s="381" t="s">
        <v>91</v>
      </c>
      <c r="H80" s="383" t="s">
        <v>79</v>
      </c>
      <c r="I80" s="151"/>
      <c r="J80" s="187"/>
      <c r="K80" s="149"/>
      <c r="Q80" s="5"/>
    </row>
    <row r="81" spans="1:17" s="4" customFormat="1" ht="43.5" customHeight="1">
      <c r="A81" s="113"/>
      <c r="B81" s="28" t="s">
        <v>2</v>
      </c>
      <c r="C81" s="14"/>
      <c r="D81" s="380"/>
      <c r="E81" s="128" t="s">
        <v>87</v>
      </c>
      <c r="F81" s="380"/>
      <c r="G81" s="382"/>
      <c r="H81" s="384"/>
      <c r="I81" s="151"/>
      <c r="J81" s="187"/>
      <c r="K81" s="149"/>
      <c r="Q81" s="5"/>
    </row>
    <row r="82" spans="1:17" s="4" customFormat="1" ht="20.25" customHeight="1">
      <c r="A82" s="113"/>
      <c r="B82" s="129"/>
      <c r="C82" s="14"/>
      <c r="D82" s="130" t="s">
        <v>93</v>
      </c>
      <c r="E82" s="131"/>
      <c r="F82" s="130" t="s">
        <v>94</v>
      </c>
      <c r="G82" s="130" t="s">
        <v>75</v>
      </c>
      <c r="H82" s="132" t="s">
        <v>3</v>
      </c>
      <c r="I82" s="141"/>
      <c r="J82" s="30"/>
      <c r="K82" s="149"/>
      <c r="Q82" s="5"/>
    </row>
    <row r="83" spans="1:17" s="4" customFormat="1" ht="18" customHeight="1">
      <c r="A83" s="113"/>
      <c r="B83" s="61" t="s">
        <v>99</v>
      </c>
      <c r="C83" s="14"/>
      <c r="D83" s="133">
        <v>648.77</v>
      </c>
      <c r="E83" s="134"/>
      <c r="F83" s="3">
        <v>543.66</v>
      </c>
      <c r="G83" s="78">
        <v>2335.04</v>
      </c>
      <c r="H83" s="3">
        <v>2175.33</v>
      </c>
      <c r="I83" s="152"/>
      <c r="J83" s="2"/>
      <c r="K83" s="149"/>
      <c r="Q83" s="5"/>
    </row>
    <row r="84" spans="1:17" s="4" customFormat="1" ht="18" customHeight="1">
      <c r="A84" s="113"/>
      <c r="B84" s="61" t="s">
        <v>100</v>
      </c>
      <c r="C84" s="14"/>
      <c r="D84" s="133">
        <v>743</v>
      </c>
      <c r="E84" s="134"/>
      <c r="F84" s="3">
        <v>957.3</v>
      </c>
      <c r="G84" s="78">
        <v>3840</v>
      </c>
      <c r="H84" s="3">
        <v>3628.26</v>
      </c>
      <c r="I84" s="152"/>
      <c r="J84" s="2"/>
      <c r="K84" s="149"/>
      <c r="Q84" s="5"/>
    </row>
    <row r="85" spans="1:17" s="4" customFormat="1" ht="18" customHeight="1">
      <c r="A85" s="113"/>
      <c r="B85" s="129" t="s">
        <v>101</v>
      </c>
      <c r="C85" s="135"/>
      <c r="D85" s="136">
        <f>SUM(D83:D84)</f>
        <v>1391.77</v>
      </c>
      <c r="E85" s="137"/>
      <c r="F85" s="138">
        <f>SUM(F83:F84)</f>
        <v>1500.96</v>
      </c>
      <c r="G85" s="138">
        <f>SUM(G83:G84)</f>
        <v>6175.04</v>
      </c>
      <c r="H85" s="138">
        <f>SUM(H83:H84)</f>
        <v>5803.59</v>
      </c>
      <c r="I85" s="153"/>
      <c r="J85" s="116"/>
      <c r="K85" s="149"/>
      <c r="Q85" s="5"/>
    </row>
    <row r="86" spans="1:17" s="4" customFormat="1" ht="18" customHeight="1">
      <c r="A86" s="113">
        <v>4</v>
      </c>
      <c r="B86" s="13" t="s">
        <v>102</v>
      </c>
      <c r="C86" s="14"/>
      <c r="D86" s="13"/>
      <c r="E86" s="14"/>
      <c r="H86" s="103"/>
      <c r="I86" s="103"/>
      <c r="J86" s="185"/>
      <c r="K86" s="53"/>
      <c r="Q86" s="5"/>
    </row>
    <row r="87" spans="1:17" s="4" customFormat="1" ht="18" customHeight="1">
      <c r="A87" s="59"/>
      <c r="B87" s="13" t="s">
        <v>84</v>
      </c>
      <c r="C87" s="14"/>
      <c r="D87" s="13"/>
      <c r="E87" s="14"/>
      <c r="H87" s="103"/>
      <c r="I87" s="103"/>
      <c r="J87" s="185"/>
      <c r="K87" s="12"/>
      <c r="Q87" s="5"/>
    </row>
    <row r="88" spans="1:17" s="4" customFormat="1" ht="18" customHeight="1">
      <c r="A88" s="59"/>
      <c r="B88" s="13" t="s">
        <v>85</v>
      </c>
      <c r="C88" s="14"/>
      <c r="D88" s="13"/>
      <c r="E88" s="14"/>
      <c r="F88" s="106"/>
      <c r="G88" s="106"/>
      <c r="H88" s="154"/>
      <c r="I88" s="154"/>
      <c r="J88" s="188"/>
      <c r="K88" s="12"/>
      <c r="Q88" s="5"/>
    </row>
    <row r="89" spans="1:17" s="4" customFormat="1" ht="18" customHeight="1">
      <c r="A89" s="113"/>
      <c r="B89" s="13" t="s">
        <v>88</v>
      </c>
      <c r="C89" s="14"/>
      <c r="D89" s="13"/>
      <c r="E89" s="14"/>
      <c r="F89" s="106"/>
      <c r="G89" s="106"/>
      <c r="H89" s="154"/>
      <c r="I89" s="154"/>
      <c r="J89" s="188"/>
      <c r="K89" s="12"/>
      <c r="M89" s="107"/>
      <c r="N89" s="104"/>
      <c r="O89" s="5"/>
      <c r="P89" s="5"/>
      <c r="Q89" s="5"/>
    </row>
    <row r="90" spans="1:17" s="4" customFormat="1" ht="18" customHeight="1">
      <c r="A90" s="113">
        <v>5</v>
      </c>
      <c r="B90" s="13" t="s">
        <v>103</v>
      </c>
      <c r="C90" s="14"/>
      <c r="D90" s="13"/>
      <c r="E90" s="14"/>
      <c r="H90" s="150" t="s">
        <v>98</v>
      </c>
      <c r="I90" s="150"/>
      <c r="J90" s="186"/>
      <c r="K90" s="12"/>
      <c r="M90" s="107"/>
      <c r="N90" s="104"/>
      <c r="O90" s="5"/>
      <c r="P90" s="5"/>
      <c r="Q90" s="5"/>
    </row>
    <row r="91" spans="1:17" s="4" customFormat="1" ht="18" customHeight="1">
      <c r="A91" s="113"/>
      <c r="B91" s="127"/>
      <c r="C91" s="102"/>
      <c r="D91" s="379" t="s">
        <v>78</v>
      </c>
      <c r="E91" s="21"/>
      <c r="F91" s="379" t="s">
        <v>90</v>
      </c>
      <c r="G91" s="381" t="s">
        <v>91</v>
      </c>
      <c r="H91" s="383" t="s">
        <v>79</v>
      </c>
      <c r="I91" s="151"/>
      <c r="J91" s="187"/>
      <c r="K91" s="12"/>
      <c r="N91" s="104"/>
      <c r="O91" s="5"/>
      <c r="P91" s="5"/>
      <c r="Q91" s="5"/>
    </row>
    <row r="92" spans="1:17" s="4" customFormat="1" ht="41.25" customHeight="1">
      <c r="A92" s="113"/>
      <c r="B92" s="28" t="s">
        <v>2</v>
      </c>
      <c r="C92" s="14"/>
      <c r="D92" s="380"/>
      <c r="E92" s="128" t="s">
        <v>87</v>
      </c>
      <c r="F92" s="380"/>
      <c r="G92" s="382"/>
      <c r="H92" s="384"/>
      <c r="I92" s="151"/>
      <c r="J92" s="187"/>
      <c r="K92" s="12"/>
      <c r="L92" s="106"/>
      <c r="N92" s="104"/>
      <c r="O92" s="5"/>
      <c r="P92" s="5"/>
      <c r="Q92" s="5"/>
    </row>
    <row r="93" spans="1:17" s="4" customFormat="1" ht="18" customHeight="1">
      <c r="A93" s="113"/>
      <c r="B93" s="129"/>
      <c r="C93" s="14"/>
      <c r="D93" s="130" t="s">
        <v>93</v>
      </c>
      <c r="E93" s="131"/>
      <c r="F93" s="130" t="s">
        <v>94</v>
      </c>
      <c r="G93" s="130" t="s">
        <v>75</v>
      </c>
      <c r="H93" s="132" t="s">
        <v>3</v>
      </c>
      <c r="I93" s="141"/>
      <c r="J93" s="30"/>
      <c r="K93" s="12"/>
      <c r="L93" s="106"/>
      <c r="Q93" s="5"/>
    </row>
    <row r="94" spans="1:17" s="4" customFormat="1" ht="18" customHeight="1">
      <c r="A94" s="113"/>
      <c r="B94" s="61" t="s">
        <v>104</v>
      </c>
      <c r="C94" s="14"/>
      <c r="D94" s="133">
        <v>0</v>
      </c>
      <c r="E94" s="134"/>
      <c r="F94" s="139" t="s">
        <v>105</v>
      </c>
      <c r="G94" s="133">
        <v>5407.13</v>
      </c>
      <c r="H94" s="140" t="s">
        <v>105</v>
      </c>
      <c r="I94" s="155"/>
      <c r="J94" s="189"/>
      <c r="K94" s="12"/>
      <c r="L94" s="107"/>
      <c r="Q94" s="5"/>
    </row>
    <row r="95" spans="1:17" s="4" customFormat="1" ht="18" customHeight="1">
      <c r="A95" s="113"/>
      <c r="B95" s="61" t="s">
        <v>106</v>
      </c>
      <c r="C95" s="14"/>
      <c r="D95" s="133">
        <v>0</v>
      </c>
      <c r="E95" s="134"/>
      <c r="F95" s="139" t="s">
        <v>105</v>
      </c>
      <c r="G95" s="133">
        <v>-8902.35</v>
      </c>
      <c r="H95" s="140" t="s">
        <v>105</v>
      </c>
      <c r="I95" s="155"/>
      <c r="J95" s="189"/>
      <c r="K95" s="12"/>
      <c r="M95" s="107"/>
      <c r="N95" s="104"/>
      <c r="O95" s="5"/>
      <c r="P95" s="5"/>
      <c r="Q95" s="5"/>
    </row>
    <row r="96" spans="1:17" s="4" customFormat="1" ht="18" customHeight="1">
      <c r="A96" s="113"/>
      <c r="B96" s="61" t="s">
        <v>107</v>
      </c>
      <c r="C96" s="14"/>
      <c r="D96" s="133">
        <v>0</v>
      </c>
      <c r="E96" s="134"/>
      <c r="F96" s="133"/>
      <c r="G96" s="133">
        <v>-1176.67</v>
      </c>
      <c r="H96" s="133">
        <v>-327.21</v>
      </c>
      <c r="I96" s="141"/>
      <c r="J96" s="30"/>
      <c r="K96" s="12"/>
      <c r="M96" s="107"/>
      <c r="N96" s="104"/>
      <c r="O96" s="5"/>
      <c r="P96" s="5"/>
      <c r="Q96" s="5"/>
    </row>
    <row r="97" spans="1:17" s="4" customFormat="1" ht="18" customHeight="1">
      <c r="A97" s="113"/>
      <c r="B97" s="129" t="s">
        <v>101</v>
      </c>
      <c r="C97" s="135"/>
      <c r="D97" s="136">
        <f>SUM(D94:D96)</f>
        <v>0</v>
      </c>
      <c r="E97" s="137"/>
      <c r="F97" s="136">
        <f>SUM(F94:F96)</f>
        <v>0</v>
      </c>
      <c r="G97" s="136">
        <f>SUM(G94:G96)</f>
        <v>-4671.89</v>
      </c>
      <c r="H97" s="136">
        <f>SUM(H94:H96)</f>
        <v>-327.21</v>
      </c>
      <c r="I97" s="141"/>
      <c r="J97" s="30"/>
      <c r="K97" s="12"/>
      <c r="M97" s="107"/>
      <c r="N97" s="104"/>
      <c r="O97" s="5"/>
      <c r="P97" s="5"/>
      <c r="Q97" s="5"/>
    </row>
    <row r="98" spans="1:17" s="4" customFormat="1" ht="18" customHeight="1">
      <c r="A98" s="113"/>
      <c r="B98" s="13"/>
      <c r="C98" s="14"/>
      <c r="D98" s="141"/>
      <c r="E98" s="18"/>
      <c r="F98" s="173"/>
      <c r="G98" s="173"/>
      <c r="H98" s="173"/>
      <c r="I98" s="141"/>
      <c r="J98" s="30"/>
      <c r="K98" s="12"/>
      <c r="M98" s="107"/>
      <c r="N98" s="104"/>
      <c r="O98" s="5"/>
      <c r="P98" s="5"/>
      <c r="Q98" s="5"/>
    </row>
    <row r="99" spans="1:17" s="4" customFormat="1" ht="18" customHeight="1">
      <c r="A99" s="113">
        <v>6</v>
      </c>
      <c r="B99" s="146" t="s">
        <v>126</v>
      </c>
      <c r="C99" s="147"/>
      <c r="D99" s="146"/>
      <c r="E99" s="147"/>
      <c r="F99" s="148"/>
      <c r="G99" s="148"/>
      <c r="H99" s="156"/>
      <c r="I99" s="156"/>
      <c r="J99" s="190"/>
      <c r="K99" s="12"/>
      <c r="M99" s="107"/>
      <c r="N99" s="104"/>
      <c r="O99" s="5"/>
      <c r="P99" s="5"/>
      <c r="Q99" s="5"/>
    </row>
    <row r="100" spans="1:17" s="4" customFormat="1" ht="18" customHeight="1">
      <c r="A100" s="113"/>
      <c r="B100" s="146" t="s">
        <v>115</v>
      </c>
      <c r="C100" s="147"/>
      <c r="D100" s="146"/>
      <c r="E100" s="147"/>
      <c r="F100" s="148"/>
      <c r="G100" s="148"/>
      <c r="H100" s="156"/>
      <c r="I100" s="156"/>
      <c r="J100" s="190"/>
      <c r="K100" s="12"/>
      <c r="M100" s="107"/>
      <c r="N100" s="104"/>
      <c r="O100" s="5"/>
      <c r="P100" s="5"/>
      <c r="Q100" s="5"/>
    </row>
    <row r="101" spans="1:17" s="4" customFormat="1" ht="18" customHeight="1">
      <c r="A101" s="113">
        <v>7</v>
      </c>
      <c r="B101" s="146" t="s">
        <v>112</v>
      </c>
      <c r="C101" s="147"/>
      <c r="D101" s="146"/>
      <c r="E101" s="147"/>
      <c r="F101" s="148"/>
      <c r="G101" s="148"/>
      <c r="H101" s="156"/>
      <c r="I101" s="156"/>
      <c r="J101" s="190"/>
      <c r="K101" s="12"/>
      <c r="M101" s="107"/>
      <c r="N101" s="104"/>
      <c r="O101" s="5"/>
      <c r="P101" s="5"/>
      <c r="Q101" s="5"/>
    </row>
    <row r="102" spans="1:17" s="4" customFormat="1" ht="18" customHeight="1">
      <c r="A102" s="113"/>
      <c r="B102" s="146" t="s">
        <v>111</v>
      </c>
      <c r="C102" s="147"/>
      <c r="D102" s="146"/>
      <c r="E102" s="147"/>
      <c r="F102" s="148"/>
      <c r="G102" s="148"/>
      <c r="H102" s="156"/>
      <c r="I102" s="156"/>
      <c r="J102" s="190"/>
      <c r="K102" s="12"/>
      <c r="N102" s="104"/>
      <c r="O102" s="5"/>
      <c r="P102" s="5"/>
      <c r="Q102" s="5"/>
    </row>
    <row r="103" spans="1:17" s="4" customFormat="1" ht="18" customHeight="1">
      <c r="A103" s="113">
        <v>8</v>
      </c>
      <c r="B103" s="13" t="s">
        <v>108</v>
      </c>
      <c r="C103" s="14"/>
      <c r="D103" s="105"/>
      <c r="E103" s="126"/>
      <c r="H103" s="103"/>
      <c r="I103" s="103"/>
      <c r="J103" s="185"/>
      <c r="K103" s="53"/>
      <c r="N103" s="104"/>
      <c r="O103" s="5"/>
      <c r="P103" s="5"/>
      <c r="Q103" s="5"/>
    </row>
    <row r="104" spans="1:17" s="4" customFormat="1" ht="18" customHeight="1">
      <c r="A104" s="113">
        <v>9</v>
      </c>
      <c r="B104" s="13" t="s">
        <v>89</v>
      </c>
      <c r="C104" s="14"/>
      <c r="D104" s="105"/>
      <c r="E104" s="126"/>
      <c r="H104" s="103"/>
      <c r="I104" s="103"/>
      <c r="J104" s="185"/>
      <c r="K104" s="53"/>
      <c r="N104" s="104"/>
      <c r="O104" s="5"/>
      <c r="P104" s="5"/>
      <c r="Q104" s="5"/>
    </row>
    <row r="105" spans="1:17" s="4" customFormat="1" ht="18" customHeight="1">
      <c r="A105" s="113"/>
      <c r="B105" s="13" t="s">
        <v>109</v>
      </c>
      <c r="C105" s="14"/>
      <c r="D105" s="105"/>
      <c r="E105" s="126"/>
      <c r="J105" s="16"/>
      <c r="K105" s="53"/>
      <c r="N105" s="104"/>
      <c r="O105" s="5"/>
      <c r="P105" s="5"/>
      <c r="Q105" s="5"/>
    </row>
    <row r="106" spans="1:17" s="4" customFormat="1" ht="18" customHeight="1">
      <c r="A106" s="113"/>
      <c r="B106" s="13"/>
      <c r="C106" s="14"/>
      <c r="D106" s="105"/>
      <c r="E106" s="126"/>
      <c r="J106" s="16"/>
      <c r="K106" s="53"/>
      <c r="N106" s="104"/>
      <c r="O106" s="5"/>
      <c r="P106" s="5"/>
      <c r="Q106" s="5"/>
    </row>
    <row r="107" spans="1:17" s="4" customFormat="1" ht="18" customHeight="1">
      <c r="A107" s="113"/>
      <c r="B107" s="13"/>
      <c r="C107" s="14"/>
      <c r="D107" s="105"/>
      <c r="E107" s="126"/>
      <c r="J107" s="16"/>
      <c r="K107" s="53"/>
      <c r="N107" s="104"/>
      <c r="O107" s="5"/>
      <c r="P107" s="5"/>
      <c r="Q107" s="5"/>
    </row>
    <row r="108" spans="1:17" s="4" customFormat="1" ht="18" customHeight="1">
      <c r="A108" s="114" t="s">
        <v>124</v>
      </c>
      <c r="B108" s="13"/>
      <c r="C108" s="14"/>
      <c r="D108" s="13"/>
      <c r="E108" s="14"/>
      <c r="J108" s="16"/>
      <c r="K108" s="149"/>
      <c r="L108" s="106"/>
      <c r="M108" s="106"/>
      <c r="N108" s="104"/>
      <c r="O108" s="5"/>
      <c r="P108" s="5"/>
      <c r="Q108" s="5"/>
    </row>
    <row r="109" spans="1:17" s="4" customFormat="1" ht="18" customHeight="1">
      <c r="A109" s="113" t="s">
        <v>110</v>
      </c>
      <c r="B109" s="117"/>
      <c r="C109" s="14"/>
      <c r="D109" s="13"/>
      <c r="E109" s="14"/>
      <c r="J109" s="16"/>
      <c r="K109" s="149"/>
      <c r="L109" s="106"/>
      <c r="M109" s="106"/>
      <c r="N109" s="104"/>
      <c r="O109" s="5"/>
      <c r="P109" s="5"/>
      <c r="Q109" s="5"/>
    </row>
    <row r="110" spans="1:17" s="4" customFormat="1" ht="18" customHeight="1">
      <c r="A110" s="142"/>
      <c r="B110" s="13"/>
      <c r="C110" s="143"/>
      <c r="D110" s="13"/>
      <c r="E110" s="14"/>
      <c r="G110" s="107"/>
      <c r="H110" s="157"/>
      <c r="I110" s="157"/>
      <c r="J110" s="181"/>
      <c r="K110" s="12"/>
      <c r="M110" s="104"/>
      <c r="N110" s="104"/>
      <c r="O110" s="5"/>
      <c r="P110" s="5"/>
      <c r="Q110" s="5"/>
    </row>
    <row r="111" spans="1:17" ht="18" customHeight="1">
      <c r="A111" s="12"/>
      <c r="B111" s="13"/>
      <c r="C111" s="143"/>
      <c r="D111" s="13"/>
      <c r="E111" s="14"/>
      <c r="F111" s="378"/>
      <c r="G111" s="378"/>
      <c r="H111" s="378"/>
      <c r="I111" s="107"/>
      <c r="J111" s="182"/>
      <c r="K111" s="12"/>
      <c r="M111" s="5"/>
      <c r="Q111" s="5"/>
    </row>
    <row r="112" spans="1:17" ht="18" customHeight="1">
      <c r="A112" s="12"/>
      <c r="B112" s="104"/>
      <c r="C112" s="143"/>
      <c r="D112" s="13"/>
      <c r="E112" s="14"/>
      <c r="F112" s="378"/>
      <c r="G112" s="378"/>
      <c r="H112" s="378"/>
      <c r="I112" s="107"/>
      <c r="J112" s="182"/>
      <c r="K112" s="12"/>
      <c r="M112" s="5"/>
      <c r="Q112" s="5"/>
    </row>
    <row r="113" spans="1:17" ht="18" customHeight="1">
      <c r="A113" s="92"/>
      <c r="B113" s="124"/>
      <c r="C113" s="144"/>
      <c r="D113" s="145"/>
      <c r="E113" s="135"/>
      <c r="F113" s="174" t="s">
        <v>83</v>
      </c>
      <c r="G113" s="175"/>
      <c r="H113" s="176"/>
      <c r="I113" s="176"/>
      <c r="J113" s="183"/>
      <c r="K113" s="12"/>
      <c r="M113" s="5"/>
      <c r="Q113" s="5"/>
    </row>
    <row r="114" spans="1:20" s="4" customFormat="1" ht="18" customHeight="1" thickBot="1">
      <c r="A114" s="113"/>
      <c r="B114" s="13"/>
      <c r="C114" s="14"/>
      <c r="D114" s="13"/>
      <c r="E114" s="14"/>
      <c r="F114" s="106"/>
      <c r="G114" s="106"/>
      <c r="H114" s="158"/>
      <c r="I114" s="158"/>
      <c r="J114" s="158"/>
      <c r="K114" s="180"/>
      <c r="L114" s="106"/>
      <c r="M114" s="106"/>
      <c r="N114" s="106"/>
      <c r="O114" s="106"/>
      <c r="P114" s="106"/>
      <c r="Q114" s="104"/>
      <c r="R114" s="5"/>
      <c r="S114" s="5"/>
      <c r="T114" s="5"/>
    </row>
    <row r="115" spans="1:20" s="4" customFormat="1" ht="18" customHeight="1">
      <c r="A115" s="177"/>
      <c r="B115" s="178"/>
      <c r="C115" s="144"/>
      <c r="D115" s="178"/>
      <c r="E115" s="179"/>
      <c r="F115" s="178"/>
      <c r="G115" s="124"/>
      <c r="H115" s="159"/>
      <c r="I115" s="159"/>
      <c r="J115" s="159"/>
      <c r="K115" s="99"/>
      <c r="L115" s="124"/>
      <c r="M115" s="124"/>
      <c r="N115" s="124"/>
      <c r="O115" s="109"/>
      <c r="P115" s="108"/>
      <c r="Q115" s="104"/>
      <c r="R115" s="5"/>
      <c r="S115" s="5"/>
      <c r="T115" s="5"/>
    </row>
    <row r="122" spans="4:6" ht="18" customHeight="1">
      <c r="D122" s="5">
        <v>-5.25</v>
      </c>
      <c r="F122" s="5">
        <v>969.03</v>
      </c>
    </row>
    <row r="123" spans="4:6" ht="18" customHeight="1">
      <c r="D123" s="5">
        <v>74672.74</v>
      </c>
      <c r="F123" s="5">
        <v>221079.69</v>
      </c>
    </row>
    <row r="124" spans="4:6" ht="18" customHeight="1">
      <c r="D124" s="5">
        <v>2113.46</v>
      </c>
      <c r="F124" s="5">
        <v>5806.81</v>
      </c>
    </row>
    <row r="125" ht="18" customHeight="1">
      <c r="F125" s="5">
        <f>SUM(F122:F124)</f>
        <v>227855.53</v>
      </c>
    </row>
    <row r="126" ht="18" customHeight="1">
      <c r="F126" s="5">
        <v>222832.94</v>
      </c>
    </row>
    <row r="127" ht="18" customHeight="1">
      <c r="F127" s="5">
        <f>F125-F126</f>
        <v>5022.5899999999965</v>
      </c>
    </row>
  </sheetData>
  <sheetProtection/>
  <mergeCells count="25">
    <mergeCell ref="I14:J14"/>
    <mergeCell ref="D14:F14"/>
    <mergeCell ref="D10:D11"/>
    <mergeCell ref="F10:F11"/>
    <mergeCell ref="G10:G11"/>
    <mergeCell ref="G14:H14"/>
    <mergeCell ref="A1:K1"/>
    <mergeCell ref="A2:K2"/>
    <mergeCell ref="A4:K4"/>
    <mergeCell ref="H10:H11"/>
    <mergeCell ref="A10:B13"/>
    <mergeCell ref="I10:I11"/>
    <mergeCell ref="J10:J11"/>
    <mergeCell ref="D9:H9"/>
    <mergeCell ref="I9:J9"/>
    <mergeCell ref="A7:K7"/>
    <mergeCell ref="F111:H112"/>
    <mergeCell ref="D80:D81"/>
    <mergeCell ref="F80:F81"/>
    <mergeCell ref="G80:G81"/>
    <mergeCell ref="H80:H81"/>
    <mergeCell ref="D91:D92"/>
    <mergeCell ref="F91:F92"/>
    <mergeCell ref="G91:G92"/>
    <mergeCell ref="H91:H92"/>
  </mergeCells>
  <printOptions horizontalCentered="1" verticalCentered="1"/>
  <pageMargins left="0.38" right="0.2362204724409449" top="0.2362204724409449" bottom="0.2362204724409449" header="0.2362204724409449" footer="0.1968503937007874"/>
  <pageSetup fitToHeight="1" fitToWidth="1" horizontalDpi="600" verticalDpi="600" orientation="portrait" paperSize="8" scale="56" r:id="rId1"/>
</worksheet>
</file>

<file path=xl/worksheets/sheet2.xml><?xml version="1.0" encoding="utf-8"?>
<worksheet xmlns="http://schemas.openxmlformats.org/spreadsheetml/2006/main" xmlns:r="http://schemas.openxmlformats.org/officeDocument/2006/relationships">
  <sheetPr>
    <pageSetUpPr fitToPage="1"/>
  </sheetPr>
  <dimension ref="A1:T127"/>
  <sheetViews>
    <sheetView view="pageBreakPreview" zoomScale="90" zoomScaleNormal="75" zoomScaleSheetLayoutView="90" workbookViewId="0" topLeftCell="A1">
      <pane xSplit="3" ySplit="3" topLeftCell="D13" activePane="bottomRight" state="frozen"/>
      <selection pane="topLeft" activeCell="A1" sqref="A1"/>
      <selection pane="topRight" activeCell="D1" sqref="D1"/>
      <selection pane="bottomLeft" activeCell="A4" sqref="A4"/>
      <selection pane="bottomRight" activeCell="I16" sqref="I16"/>
    </sheetView>
  </sheetViews>
  <sheetFormatPr defaultColWidth="11.421875" defaultRowHeight="18" customHeight="1"/>
  <cols>
    <col min="1" max="1" width="7.7109375" style="5" customWidth="1"/>
    <col min="2" max="2" width="61.28125" style="5" customWidth="1"/>
    <col min="3" max="3" width="28.57421875" style="110" hidden="1" customWidth="1"/>
    <col min="4" max="4" width="20.28125" style="5" customWidth="1"/>
    <col min="5" max="5" width="23.140625" style="110" hidden="1" customWidth="1"/>
    <col min="6" max="6" width="17.57421875" style="5" customWidth="1"/>
    <col min="7" max="7" width="19.57421875" style="5" customWidth="1"/>
    <col min="8" max="10" width="20.8515625" style="111" customWidth="1"/>
    <col min="11" max="11" width="5.57421875" style="4" customWidth="1"/>
    <col min="12" max="12" width="11.8515625" style="4" bestFit="1" customWidth="1"/>
    <col min="13" max="13" width="10.28125" style="4" customWidth="1"/>
    <col min="14" max="14" width="10.7109375" style="4" bestFit="1" customWidth="1"/>
    <col min="15" max="15" width="16.140625" style="5" customWidth="1"/>
    <col min="16" max="16" width="14.421875" style="5" customWidth="1"/>
    <col min="17" max="17" width="1.7109375" style="4" customWidth="1"/>
    <col min="18" max="16384" width="11.421875" style="5" customWidth="1"/>
  </cols>
  <sheetData>
    <row r="1" spans="1:17" ht="30.75" customHeight="1">
      <c r="A1" s="385" t="s">
        <v>0</v>
      </c>
      <c r="B1" s="386"/>
      <c r="C1" s="386"/>
      <c r="D1" s="386"/>
      <c r="E1" s="386"/>
      <c r="F1" s="386"/>
      <c r="G1" s="386"/>
      <c r="H1" s="386"/>
      <c r="I1" s="386"/>
      <c r="J1" s="386"/>
      <c r="K1" s="387"/>
      <c r="L1" s="7"/>
      <c r="M1" s="7"/>
      <c r="N1" s="7"/>
      <c r="O1" s="4"/>
      <c r="Q1" s="5"/>
    </row>
    <row r="2" spans="1:17" ht="18" customHeight="1">
      <c r="A2" s="388" t="s">
        <v>1</v>
      </c>
      <c r="B2" s="389"/>
      <c r="C2" s="389"/>
      <c r="D2" s="389"/>
      <c r="E2" s="389"/>
      <c r="F2" s="389"/>
      <c r="G2" s="389"/>
      <c r="H2" s="389"/>
      <c r="I2" s="389"/>
      <c r="J2" s="389"/>
      <c r="K2" s="390"/>
      <c r="L2" s="7"/>
      <c r="M2" s="7"/>
      <c r="N2" s="7"/>
      <c r="O2" s="4"/>
      <c r="Q2" s="5"/>
    </row>
    <row r="3" spans="1:17" ht="7.5" customHeight="1" hidden="1">
      <c r="A3" s="6"/>
      <c r="B3" s="7"/>
      <c r="C3" s="9"/>
      <c r="D3" s="7"/>
      <c r="E3" s="9"/>
      <c r="F3" s="7"/>
      <c r="G3" s="7"/>
      <c r="H3" s="10"/>
      <c r="I3" s="10"/>
      <c r="J3" s="10"/>
      <c r="K3" s="8"/>
      <c r="L3" s="7"/>
      <c r="M3" s="7"/>
      <c r="N3" s="7"/>
      <c r="O3" s="4"/>
      <c r="Q3" s="5"/>
    </row>
    <row r="4" spans="1:17" ht="18" customHeight="1">
      <c r="A4" s="388" t="s">
        <v>95</v>
      </c>
      <c r="B4" s="389"/>
      <c r="C4" s="389"/>
      <c r="D4" s="389"/>
      <c r="E4" s="389"/>
      <c r="F4" s="389"/>
      <c r="G4" s="389"/>
      <c r="H4" s="389"/>
      <c r="I4" s="389"/>
      <c r="J4" s="389"/>
      <c r="K4" s="390"/>
      <c r="L4" s="7"/>
      <c r="M4" s="7"/>
      <c r="N4" s="7"/>
      <c r="O4" s="11"/>
      <c r="P4" s="11"/>
      <c r="Q4" s="11"/>
    </row>
    <row r="5" spans="1:17" ht="18" customHeight="1" hidden="1">
      <c r="A5" s="12"/>
      <c r="B5" s="13"/>
      <c r="C5" s="14"/>
      <c r="D5" s="13"/>
      <c r="E5" s="14"/>
      <c r="F5" s="13"/>
      <c r="G5" s="13"/>
      <c r="H5" s="15"/>
      <c r="I5" s="15"/>
      <c r="J5" s="15"/>
      <c r="K5" s="16"/>
      <c r="O5" s="11"/>
      <c r="P5" s="11"/>
      <c r="Q5" s="11"/>
    </row>
    <row r="6" spans="1:17" ht="18" customHeight="1">
      <c r="A6" s="12"/>
      <c r="B6" s="13"/>
      <c r="C6" s="14"/>
      <c r="D6" s="13"/>
      <c r="E6" s="14"/>
      <c r="F6" s="13" t="s">
        <v>118</v>
      </c>
      <c r="G6" s="13"/>
      <c r="H6" s="15"/>
      <c r="I6" s="15"/>
      <c r="J6" s="15"/>
      <c r="K6" s="16"/>
      <c r="O6" s="11"/>
      <c r="P6" s="11"/>
      <c r="Q6" s="11"/>
    </row>
    <row r="7" spans="1:17" ht="18" customHeight="1">
      <c r="A7" s="388" t="s">
        <v>119</v>
      </c>
      <c r="B7" s="389"/>
      <c r="C7" s="389"/>
      <c r="D7" s="389"/>
      <c r="E7" s="389"/>
      <c r="F7" s="389"/>
      <c r="G7" s="389"/>
      <c r="H7" s="389"/>
      <c r="I7" s="389"/>
      <c r="J7" s="389"/>
      <c r="K7" s="390"/>
      <c r="L7" s="17"/>
      <c r="M7" s="17"/>
      <c r="N7" s="17"/>
      <c r="O7" s="11"/>
      <c r="P7" s="11"/>
      <c r="Q7" s="11"/>
    </row>
    <row r="8" spans="1:17" ht="18" customHeight="1">
      <c r="A8" s="167"/>
      <c r="B8" s="17"/>
      <c r="C8" s="18"/>
      <c r="D8" s="17"/>
      <c r="E8" s="18"/>
      <c r="F8" s="17"/>
      <c r="G8" s="17"/>
      <c r="H8" s="141"/>
      <c r="I8" s="141"/>
      <c r="J8" s="141" t="s">
        <v>76</v>
      </c>
      <c r="K8" s="19"/>
      <c r="L8" s="17"/>
      <c r="M8" s="17"/>
      <c r="N8" s="17"/>
      <c r="O8" s="11"/>
      <c r="P8" s="11"/>
      <c r="Q8" s="11"/>
    </row>
    <row r="9" spans="1:17" ht="18" customHeight="1">
      <c r="A9" s="168"/>
      <c r="B9" s="169"/>
      <c r="C9" s="170"/>
      <c r="D9" s="374" t="s">
        <v>116</v>
      </c>
      <c r="E9" s="375"/>
      <c r="F9" s="375"/>
      <c r="G9" s="375"/>
      <c r="H9" s="376"/>
      <c r="I9" s="377" t="s">
        <v>117</v>
      </c>
      <c r="J9" s="368"/>
      <c r="K9" s="19"/>
      <c r="L9" s="17"/>
      <c r="M9" s="17"/>
      <c r="N9" s="17"/>
      <c r="O9" s="11"/>
      <c r="P9" s="11"/>
      <c r="Q9" s="11"/>
    </row>
    <row r="10" spans="1:17" ht="6" customHeight="1">
      <c r="A10" s="392" t="s">
        <v>2</v>
      </c>
      <c r="B10" s="393"/>
      <c r="C10" s="20"/>
      <c r="D10" s="379" t="s">
        <v>78</v>
      </c>
      <c r="E10" s="21"/>
      <c r="F10" s="379" t="s">
        <v>90</v>
      </c>
      <c r="G10" s="381" t="s">
        <v>123</v>
      </c>
      <c r="H10" s="381" t="s">
        <v>123</v>
      </c>
      <c r="I10" s="381" t="s">
        <v>123</v>
      </c>
      <c r="J10" s="381" t="s">
        <v>123</v>
      </c>
      <c r="K10" s="19"/>
      <c r="L10" s="17"/>
      <c r="M10" s="17"/>
      <c r="N10" s="17"/>
      <c r="O10" s="11"/>
      <c r="P10" s="11"/>
      <c r="Q10" s="11"/>
    </row>
    <row r="11" spans="1:17" ht="60" customHeight="1">
      <c r="A11" s="394"/>
      <c r="B11" s="373"/>
      <c r="C11" s="24" t="s">
        <v>86</v>
      </c>
      <c r="D11" s="372"/>
      <c r="E11" s="25" t="s">
        <v>87</v>
      </c>
      <c r="F11" s="372"/>
      <c r="G11" s="391"/>
      <c r="H11" s="391"/>
      <c r="I11" s="391"/>
      <c r="J11" s="391"/>
      <c r="K11" s="19"/>
      <c r="L11" s="17"/>
      <c r="M11" s="17"/>
      <c r="N11" s="17"/>
      <c r="O11" s="11"/>
      <c r="P11" s="11"/>
      <c r="Q11" s="11"/>
    </row>
    <row r="12" spans="1:17" ht="5.25" customHeight="1" hidden="1">
      <c r="A12" s="394"/>
      <c r="B12" s="373"/>
      <c r="C12" s="26"/>
      <c r="D12" s="19"/>
      <c r="E12" s="27"/>
      <c r="F12" s="28"/>
      <c r="G12" s="28"/>
      <c r="H12" s="29"/>
      <c r="I12" s="160"/>
      <c r="J12" s="160"/>
      <c r="K12" s="19"/>
      <c r="L12" s="17"/>
      <c r="M12" s="17"/>
      <c r="N12" s="17"/>
      <c r="O12" s="11"/>
      <c r="P12" s="11"/>
      <c r="Q12" s="11"/>
    </row>
    <row r="13" spans="1:17" ht="18" customHeight="1">
      <c r="A13" s="394"/>
      <c r="B13" s="373"/>
      <c r="C13" s="26"/>
      <c r="D13" s="19" t="s">
        <v>93</v>
      </c>
      <c r="E13" s="27"/>
      <c r="F13" s="19" t="s">
        <v>94</v>
      </c>
      <c r="G13" s="28" t="s">
        <v>75</v>
      </c>
      <c r="H13" s="30" t="s">
        <v>3</v>
      </c>
      <c r="I13" s="28" t="s">
        <v>75</v>
      </c>
      <c r="J13" s="30" t="s">
        <v>3</v>
      </c>
      <c r="K13" s="19"/>
      <c r="L13" s="17"/>
      <c r="M13" s="17"/>
      <c r="N13" s="17"/>
      <c r="O13" s="11"/>
      <c r="P13" s="11"/>
      <c r="Q13" s="11"/>
    </row>
    <row r="14" spans="1:17" ht="18" customHeight="1">
      <c r="A14" s="22"/>
      <c r="B14" s="23"/>
      <c r="C14" s="24"/>
      <c r="D14" s="369" t="s">
        <v>77</v>
      </c>
      <c r="E14" s="371"/>
      <c r="F14" s="370"/>
      <c r="G14" s="369" t="s">
        <v>4</v>
      </c>
      <c r="H14" s="370"/>
      <c r="I14" s="369" t="s">
        <v>4</v>
      </c>
      <c r="J14" s="370"/>
      <c r="K14" s="19"/>
      <c r="L14" s="17"/>
      <c r="M14" s="17"/>
      <c r="N14" s="17"/>
      <c r="O14" s="11"/>
      <c r="P14" s="11"/>
      <c r="Q14" s="11"/>
    </row>
    <row r="15" spans="1:17" ht="18" customHeight="1">
      <c r="A15" s="31"/>
      <c r="B15" s="32"/>
      <c r="C15" s="33"/>
      <c r="D15" s="32" t="s">
        <v>5</v>
      </c>
      <c r="E15" s="33"/>
      <c r="F15" s="32" t="s">
        <v>6</v>
      </c>
      <c r="G15" s="34" t="s">
        <v>7</v>
      </c>
      <c r="H15" s="35" t="s">
        <v>8</v>
      </c>
      <c r="I15" s="34" t="s">
        <v>120</v>
      </c>
      <c r="J15" s="35" t="s">
        <v>121</v>
      </c>
      <c r="K15" s="36"/>
      <c r="L15" s="118"/>
      <c r="M15" s="118"/>
      <c r="N15" s="118"/>
      <c r="O15" s="4"/>
      <c r="Q15" s="5"/>
    </row>
    <row r="16" spans="1:17" ht="18" customHeight="1">
      <c r="A16" s="37" t="s">
        <v>9</v>
      </c>
      <c r="B16" s="38" t="s">
        <v>10</v>
      </c>
      <c r="C16" s="39">
        <v>316365.55</v>
      </c>
      <c r="D16" s="40">
        <v>136956.8502291</v>
      </c>
      <c r="E16" s="41">
        <v>277896.31</v>
      </c>
      <c r="F16" s="42">
        <v>97562.51</v>
      </c>
      <c r="G16" s="43">
        <v>436310.53086989996</v>
      </c>
      <c r="H16" s="44">
        <v>367092.38</v>
      </c>
      <c r="I16" s="161">
        <v>454364</v>
      </c>
      <c r="J16" s="162">
        <v>374672</v>
      </c>
      <c r="K16" s="45"/>
      <c r="L16" s="119"/>
      <c r="M16" s="119"/>
      <c r="N16" s="119"/>
      <c r="O16" s="4"/>
      <c r="Q16" s="5"/>
    </row>
    <row r="17" spans="1:17" ht="18" customHeight="1">
      <c r="A17" s="46" t="s">
        <v>11</v>
      </c>
      <c r="B17" s="47" t="s">
        <v>12</v>
      </c>
      <c r="C17" s="48">
        <v>4436.01</v>
      </c>
      <c r="D17" s="49">
        <v>2339.2830585999995</v>
      </c>
      <c r="E17" s="50">
        <v>4837.2</v>
      </c>
      <c r="F17" s="51">
        <v>1307.21</v>
      </c>
      <c r="G17" s="49">
        <v>6702.855383499999</v>
      </c>
      <c r="H17" s="52">
        <v>6575.05</v>
      </c>
      <c r="I17" s="57">
        <f>6795.87-39.24</f>
        <v>6756.63</v>
      </c>
      <c r="J17" s="58">
        <v>6645</v>
      </c>
      <c r="K17" s="45"/>
      <c r="L17" s="119"/>
      <c r="M17" s="119"/>
      <c r="N17" s="119"/>
      <c r="O17" s="4"/>
      <c r="Q17" s="5"/>
    </row>
    <row r="18" spans="1:17" ht="18" customHeight="1">
      <c r="A18" s="53"/>
      <c r="B18" s="47" t="s">
        <v>13</v>
      </c>
      <c r="C18" s="54">
        <v>320801.56</v>
      </c>
      <c r="D18" s="55">
        <f>SUM(D16:D17)</f>
        <v>139296.1332877</v>
      </c>
      <c r="E18" s="55">
        <v>282733.51</v>
      </c>
      <c r="F18" s="55">
        <f>SUM(F16:F17)</f>
        <v>98869.72</v>
      </c>
      <c r="G18" s="55">
        <f>SUM(G16:G17)</f>
        <v>443013.38625339995</v>
      </c>
      <c r="H18" s="55">
        <f>SUM(H16:H17)</f>
        <v>373667.43</v>
      </c>
      <c r="I18" s="55">
        <f>SUM(I16:I17)</f>
        <v>461120.63</v>
      </c>
      <c r="J18" s="55">
        <f>SUM(J16:J17)</f>
        <v>381317</v>
      </c>
      <c r="K18" s="45"/>
      <c r="L18" s="119"/>
      <c r="M18" s="119"/>
      <c r="N18" s="119"/>
      <c r="O18" s="4"/>
      <c r="Q18" s="5"/>
    </row>
    <row r="19" spans="1:17" ht="18" customHeight="1">
      <c r="A19" s="59" t="s">
        <v>14</v>
      </c>
      <c r="B19" s="47" t="s">
        <v>15</v>
      </c>
      <c r="C19" s="60"/>
      <c r="D19" s="61"/>
      <c r="E19" s="62"/>
      <c r="F19" s="61"/>
      <c r="G19" s="193"/>
      <c r="H19" s="64"/>
      <c r="I19" s="163"/>
      <c r="J19" s="164"/>
      <c r="K19" s="45"/>
      <c r="L19" s="119"/>
      <c r="M19" s="119"/>
      <c r="N19" s="119"/>
      <c r="O19" s="4"/>
      <c r="Q19" s="5"/>
    </row>
    <row r="20" spans="1:17" ht="18" customHeight="1">
      <c r="A20" s="46"/>
      <c r="B20" s="47" t="s">
        <v>16</v>
      </c>
      <c r="C20" s="65">
        <v>969.03</v>
      </c>
      <c r="D20" s="66">
        <v>-2031.6617596605047</v>
      </c>
      <c r="E20" s="67">
        <v>5413.7</v>
      </c>
      <c r="F20" s="68">
        <v>3111.35</v>
      </c>
      <c r="G20" s="194">
        <v>194.61000000000058</v>
      </c>
      <c r="H20" s="64">
        <v>6056.61</v>
      </c>
      <c r="I20" s="74">
        <v>-347</v>
      </c>
      <c r="J20" s="64">
        <v>5370</v>
      </c>
      <c r="K20" s="45"/>
      <c r="L20" s="119"/>
      <c r="M20" s="119"/>
      <c r="N20" s="119"/>
      <c r="O20" s="4"/>
      <c r="Q20" s="5"/>
    </row>
    <row r="21" spans="1:17" ht="18" customHeight="1">
      <c r="A21" s="46"/>
      <c r="B21" s="47" t="s">
        <v>17</v>
      </c>
      <c r="C21" s="65"/>
      <c r="D21" s="66"/>
      <c r="E21" s="67"/>
      <c r="F21" s="61"/>
      <c r="G21" s="193"/>
      <c r="H21" s="64"/>
      <c r="I21" s="64"/>
      <c r="J21" s="64"/>
      <c r="K21" s="45"/>
      <c r="L21" s="119"/>
      <c r="M21" s="119"/>
      <c r="N21" s="119"/>
      <c r="O21" s="4"/>
      <c r="Q21" s="5"/>
    </row>
    <row r="22" spans="1:17" ht="18" customHeight="1">
      <c r="A22" s="46"/>
      <c r="B22" s="47" t="s">
        <v>80</v>
      </c>
      <c r="C22" s="65">
        <v>221079.61</v>
      </c>
      <c r="D22" s="66">
        <v>101553.13649826046</v>
      </c>
      <c r="E22" s="67">
        <v>200165.39</v>
      </c>
      <c r="F22" s="68">
        <v>66305.49</v>
      </c>
      <c r="G22" s="195">
        <v>301879.1986261001</v>
      </c>
      <c r="H22" s="64">
        <v>264219.7</v>
      </c>
      <c r="I22" s="64">
        <f>313871.26-2335.04</f>
        <v>311536.22000000003</v>
      </c>
      <c r="J22" s="64">
        <f>268711-2175.33</f>
        <v>266535.67</v>
      </c>
      <c r="K22" s="45"/>
      <c r="L22" s="119"/>
      <c r="M22" s="119"/>
      <c r="N22" s="119"/>
      <c r="O22" s="72">
        <v>300708.56766840006</v>
      </c>
      <c r="P22" s="69">
        <v>1170.630957700021</v>
      </c>
      <c r="Q22" s="5"/>
    </row>
    <row r="23" spans="1:17" ht="18" customHeight="1">
      <c r="A23" s="70"/>
      <c r="B23" s="47" t="s">
        <v>18</v>
      </c>
      <c r="C23" s="65">
        <v>5806.81</v>
      </c>
      <c r="D23" s="66">
        <v>1862.7541733000003</v>
      </c>
      <c r="E23" s="67">
        <v>4053.57</v>
      </c>
      <c r="F23" s="68">
        <v>1601.73</v>
      </c>
      <c r="G23" s="195">
        <v>8149.06</v>
      </c>
      <c r="H23" s="64">
        <v>5560.61</v>
      </c>
      <c r="I23" s="64">
        <v>8149.07</v>
      </c>
      <c r="J23" s="64">
        <v>5561</v>
      </c>
      <c r="K23" s="45"/>
      <c r="L23" s="119"/>
      <c r="M23" s="119"/>
      <c r="N23" s="119"/>
      <c r="O23" s="72"/>
      <c r="Q23" s="5"/>
    </row>
    <row r="24" spans="1:17" ht="18" customHeight="1">
      <c r="A24" s="70"/>
      <c r="B24" s="47" t="s">
        <v>19</v>
      </c>
      <c r="C24" s="65">
        <v>17358.78</v>
      </c>
      <c r="D24" s="66">
        <v>7290.9967589</v>
      </c>
      <c r="E24" s="67">
        <v>16183.88</v>
      </c>
      <c r="F24" s="68">
        <v>5233</v>
      </c>
      <c r="G24" s="195">
        <v>25125.5076065</v>
      </c>
      <c r="H24" s="64">
        <v>20451.74</v>
      </c>
      <c r="I24" s="64">
        <v>28988</v>
      </c>
      <c r="J24" s="64">
        <v>23994</v>
      </c>
      <c r="K24" s="45"/>
      <c r="L24" s="119"/>
      <c r="M24" s="119"/>
      <c r="N24" s="119"/>
      <c r="O24" s="72">
        <v>25092.654894</v>
      </c>
      <c r="P24" s="69">
        <v>32.85271250000005</v>
      </c>
      <c r="Q24" s="71"/>
    </row>
    <row r="25" spans="1:17" ht="18" customHeight="1">
      <c r="A25" s="70"/>
      <c r="B25" s="47" t="s">
        <v>20</v>
      </c>
      <c r="C25" s="65">
        <v>7602.02</v>
      </c>
      <c r="D25" s="66">
        <v>2659.1495004</v>
      </c>
      <c r="E25" s="67">
        <v>7632.3</v>
      </c>
      <c r="F25" s="68">
        <v>2541.87</v>
      </c>
      <c r="G25" s="43">
        <v>10252.843251299999</v>
      </c>
      <c r="H25" s="64">
        <v>10287.76</v>
      </c>
      <c r="I25" s="64">
        <v>13673</v>
      </c>
      <c r="J25" s="64">
        <v>13315</v>
      </c>
      <c r="K25" s="45"/>
      <c r="L25" s="119"/>
      <c r="M25" s="119"/>
      <c r="N25" s="119"/>
      <c r="O25" s="72"/>
      <c r="P25" s="71">
        <v>1203.4836702000212</v>
      </c>
      <c r="Q25" s="71"/>
    </row>
    <row r="26" spans="1:17" ht="18" customHeight="1">
      <c r="A26" s="70"/>
      <c r="B26" s="47" t="s">
        <v>81</v>
      </c>
      <c r="C26" s="65">
        <v>4625.23</v>
      </c>
      <c r="D26" s="66">
        <v>1391.77</v>
      </c>
      <c r="E26" s="67">
        <v>4363.51</v>
      </c>
      <c r="F26" s="68">
        <v>1500.96</v>
      </c>
      <c r="G26" s="43">
        <v>6175.04</v>
      </c>
      <c r="H26" s="64">
        <v>5803.59</v>
      </c>
      <c r="I26" s="80">
        <f>6175.04</f>
        <v>6175.04</v>
      </c>
      <c r="J26" s="80">
        <f>5803.59</f>
        <v>5803.59</v>
      </c>
      <c r="K26" s="45"/>
      <c r="L26" s="119"/>
      <c r="M26" s="119"/>
      <c r="N26" s="119"/>
      <c r="O26" s="72"/>
      <c r="P26" s="71"/>
      <c r="Q26" s="71"/>
    </row>
    <row r="27" spans="1:17" ht="18" customHeight="1">
      <c r="A27" s="70"/>
      <c r="B27" s="47" t="s">
        <v>82</v>
      </c>
      <c r="C27" s="65">
        <v>51654.07</v>
      </c>
      <c r="D27" s="66">
        <v>20253.803502200004</v>
      </c>
      <c r="E27" s="67">
        <v>38603.34</v>
      </c>
      <c r="F27" s="68">
        <v>14856.26</v>
      </c>
      <c r="G27" s="43">
        <v>72678.5904691</v>
      </c>
      <c r="H27" s="64">
        <v>52800.01</v>
      </c>
      <c r="I27" s="64">
        <f>83038.65-3840</f>
        <v>79198.65</v>
      </c>
      <c r="J27" s="64">
        <f>65521-3628.26</f>
        <v>61892.74</v>
      </c>
      <c r="K27" s="45"/>
      <c r="L27" s="72">
        <v>76258</v>
      </c>
      <c r="M27" s="119"/>
      <c r="N27" s="69">
        <v>3579.4095308999968</v>
      </c>
      <c r="O27" s="5">
        <v>3840</v>
      </c>
      <c r="P27" s="69">
        <v>-260.59046910000325</v>
      </c>
      <c r="Q27" s="69">
        <v>-260.59046910000325</v>
      </c>
    </row>
    <row r="28" spans="1:17" ht="18" customHeight="1">
      <c r="A28" s="6"/>
      <c r="B28" s="47" t="s">
        <v>92</v>
      </c>
      <c r="C28" s="73">
        <v>309095.55</v>
      </c>
      <c r="D28" s="74">
        <f>SUM(D20:D27)</f>
        <v>132979.94867339995</v>
      </c>
      <c r="E28" s="74">
        <v>276415.69</v>
      </c>
      <c r="F28" s="74">
        <f>SUM(F20:F27)</f>
        <v>95150.66</v>
      </c>
      <c r="G28" s="74">
        <f>SUM(G20:G27)</f>
        <v>424454.849953</v>
      </c>
      <c r="H28" s="74">
        <f>SUM(H20:H27)</f>
        <v>365180.02</v>
      </c>
      <c r="I28" s="74">
        <f>SUM(I20:I27)</f>
        <v>447372.98</v>
      </c>
      <c r="J28" s="74">
        <f>SUM(J20:J27)</f>
        <v>382472</v>
      </c>
      <c r="K28" s="45"/>
      <c r="L28" s="119"/>
      <c r="M28" s="119"/>
      <c r="N28" s="119"/>
      <c r="O28" s="72"/>
      <c r="P28" s="69"/>
      <c r="Q28" s="5"/>
    </row>
    <row r="29" spans="1:17" ht="18" customHeight="1">
      <c r="A29" s="46" t="s">
        <v>21</v>
      </c>
      <c r="B29" s="47" t="s">
        <v>22</v>
      </c>
      <c r="C29" s="65"/>
      <c r="D29" s="66"/>
      <c r="E29" s="67"/>
      <c r="F29" s="61"/>
      <c r="G29" s="43"/>
      <c r="H29" s="2"/>
      <c r="I29" s="64"/>
      <c r="J29" s="64"/>
      <c r="K29" s="75"/>
      <c r="L29" s="120"/>
      <c r="M29" s="120"/>
      <c r="N29" s="120"/>
      <c r="O29" s="72"/>
      <c r="Q29" s="5"/>
    </row>
    <row r="30" spans="1:17" ht="18" customHeight="1">
      <c r="A30" s="46"/>
      <c r="B30" s="47" t="s">
        <v>23</v>
      </c>
      <c r="C30" s="76">
        <v>11706.01</v>
      </c>
      <c r="D30" s="2">
        <f>D18-D28</f>
        <v>6316.1846143000585</v>
      </c>
      <c r="E30" s="67">
        <v>6317.82</v>
      </c>
      <c r="F30" s="2">
        <f>F18-F28</f>
        <v>3719.0599999999977</v>
      </c>
      <c r="G30" s="2">
        <f>G18-G28</f>
        <v>18558.536300399923</v>
      </c>
      <c r="H30" s="2">
        <f>H18-H28</f>
        <v>8487.409999999974</v>
      </c>
      <c r="I30" s="2">
        <f>I18-I28</f>
        <v>13747.650000000023</v>
      </c>
      <c r="J30" s="2">
        <f>J18-J28</f>
        <v>-1155</v>
      </c>
      <c r="K30" s="75"/>
      <c r="L30" s="75"/>
      <c r="M30" s="75"/>
      <c r="N30" s="75"/>
      <c r="O30" s="3">
        <v>17762.451160599932</v>
      </c>
      <c r="P30" s="69">
        <v>796.0851397999795</v>
      </c>
      <c r="Q30" s="5"/>
    </row>
    <row r="31" spans="1:17" ht="18" customHeight="1">
      <c r="A31" s="46" t="s">
        <v>24</v>
      </c>
      <c r="B31" s="47" t="s">
        <v>25</v>
      </c>
      <c r="C31" s="65">
        <v>404.2</v>
      </c>
      <c r="D31" s="66">
        <v>411.1071159</v>
      </c>
      <c r="E31" s="67">
        <v>192.18</v>
      </c>
      <c r="F31" s="68">
        <v>31.05</v>
      </c>
      <c r="G31" s="43">
        <v>39.24026360000022</v>
      </c>
      <c r="H31" s="2">
        <v>302.05</v>
      </c>
      <c r="I31" s="196">
        <v>39.24</v>
      </c>
      <c r="J31" s="2">
        <v>322</v>
      </c>
      <c r="K31" s="75"/>
      <c r="L31" s="120"/>
      <c r="M31" s="120"/>
      <c r="N31" s="120"/>
      <c r="O31" s="4"/>
      <c r="Q31" s="5"/>
    </row>
    <row r="32" spans="1:17" ht="18" customHeight="1">
      <c r="A32" s="46"/>
      <c r="B32" s="47" t="s">
        <v>26</v>
      </c>
      <c r="C32" s="65">
        <v>-103.23</v>
      </c>
      <c r="D32" s="66">
        <v>14.483468</v>
      </c>
      <c r="E32" s="67">
        <v>0</v>
      </c>
      <c r="F32" s="66">
        <v>-34.04</v>
      </c>
      <c r="G32" s="43">
        <v>8.2938738</v>
      </c>
      <c r="H32" s="2">
        <v>148.73</v>
      </c>
      <c r="I32" s="2">
        <v>1294</v>
      </c>
      <c r="J32" s="2">
        <v>-511</v>
      </c>
      <c r="K32" s="75"/>
      <c r="L32" s="120"/>
      <c r="M32" s="120"/>
      <c r="N32" s="120"/>
      <c r="O32" s="4"/>
      <c r="Q32" s="5"/>
    </row>
    <row r="33" spans="1:17" ht="18" customHeight="1">
      <c r="A33" s="46" t="s">
        <v>27</v>
      </c>
      <c r="B33" s="47" t="s">
        <v>28</v>
      </c>
      <c r="C33" s="76">
        <v>12006.98</v>
      </c>
      <c r="D33" s="2">
        <f>SUM(D30:D32)</f>
        <v>6741.775198200059</v>
      </c>
      <c r="E33" s="67">
        <v>6510</v>
      </c>
      <c r="F33" s="2">
        <f>SUM(F30:F32)</f>
        <v>3716.069999999998</v>
      </c>
      <c r="G33" s="2">
        <f>SUM(G30:G32)</f>
        <v>18606.070437799925</v>
      </c>
      <c r="H33" s="2">
        <f>SUM(H30:H32)</f>
        <v>8938.189999999973</v>
      </c>
      <c r="I33" s="2">
        <f>SUM(I30:I32)</f>
        <v>15080.890000000023</v>
      </c>
      <c r="J33" s="2">
        <f>SUM(J30:J32)</f>
        <v>-1344</v>
      </c>
      <c r="K33" s="75"/>
      <c r="L33" s="120">
        <v>11104.782515399935</v>
      </c>
      <c r="M33" s="120"/>
      <c r="N33" s="120"/>
      <c r="O33" s="4">
        <v>18506.001708599935</v>
      </c>
      <c r="P33" s="69">
        <v>100.0687291999784</v>
      </c>
      <c r="Q33" s="5"/>
    </row>
    <row r="34" spans="1:17" ht="18" customHeight="1">
      <c r="A34" s="46" t="s">
        <v>29</v>
      </c>
      <c r="B34" s="47" t="s">
        <v>30</v>
      </c>
      <c r="C34" s="65">
        <v>5048.54</v>
      </c>
      <c r="D34" s="66">
        <v>1695.0022323000003</v>
      </c>
      <c r="E34" s="67">
        <v>4113.45</v>
      </c>
      <c r="F34" s="68">
        <v>1712.08</v>
      </c>
      <c r="G34" s="43">
        <v>6316.708912200002</v>
      </c>
      <c r="H34" s="2">
        <v>5500.61</v>
      </c>
      <c r="I34" s="2">
        <v>8278</v>
      </c>
      <c r="J34" s="2">
        <v>7447</v>
      </c>
      <c r="K34" s="75"/>
      <c r="L34" s="120"/>
      <c r="M34" s="120"/>
      <c r="N34" s="120"/>
      <c r="O34" s="4"/>
      <c r="Q34" s="5"/>
    </row>
    <row r="35" spans="1:17" ht="18" customHeight="1">
      <c r="A35" s="46" t="s">
        <v>31</v>
      </c>
      <c r="B35" s="47" t="s">
        <v>32</v>
      </c>
      <c r="C35" s="73">
        <v>6958.4400000000105</v>
      </c>
      <c r="D35" s="64">
        <f>D33-D34</f>
        <v>5046.772965900059</v>
      </c>
      <c r="E35" s="74">
        <v>2396.55</v>
      </c>
      <c r="F35" s="64">
        <f>F33-F34</f>
        <v>2003.989999999998</v>
      </c>
      <c r="G35" s="64">
        <f>G33-G34</f>
        <v>12289.361525599923</v>
      </c>
      <c r="H35" s="64">
        <f>H33-H34</f>
        <v>3437.5799999999736</v>
      </c>
      <c r="I35" s="64">
        <f>I33-I34</f>
        <v>6802.890000000023</v>
      </c>
      <c r="J35" s="64">
        <f>J33-J34</f>
        <v>-8791</v>
      </c>
      <c r="K35" s="45"/>
      <c r="L35" s="119"/>
      <c r="M35" s="119"/>
      <c r="N35" s="119"/>
      <c r="O35" s="4"/>
      <c r="P35" s="69"/>
      <c r="Q35" s="5"/>
    </row>
    <row r="36" spans="1:17" ht="18" customHeight="1">
      <c r="A36" s="46"/>
      <c r="B36" s="47" t="s">
        <v>33</v>
      </c>
      <c r="C36" s="65"/>
      <c r="D36" s="66"/>
      <c r="E36" s="67"/>
      <c r="F36" s="61"/>
      <c r="G36" s="43"/>
      <c r="H36" s="64"/>
      <c r="I36" s="64"/>
      <c r="J36" s="64"/>
      <c r="K36" s="45"/>
      <c r="L36" s="119"/>
      <c r="M36" s="119"/>
      <c r="N36" s="119"/>
      <c r="O36" s="4"/>
      <c r="Q36" s="5">
        <v>64.18</v>
      </c>
    </row>
    <row r="37" spans="1:17" ht="18" customHeight="1">
      <c r="A37" s="46" t="s">
        <v>34</v>
      </c>
      <c r="B37" s="47" t="s">
        <v>35</v>
      </c>
      <c r="C37" s="65">
        <v>0</v>
      </c>
      <c r="D37" s="66"/>
      <c r="E37" s="67"/>
      <c r="F37" s="1">
        <v>0</v>
      </c>
      <c r="G37" s="3">
        <v>-4671.89</v>
      </c>
      <c r="H37" s="2">
        <v>-327.21</v>
      </c>
      <c r="I37" s="64">
        <v>-4671.89</v>
      </c>
      <c r="J37" s="64">
        <v>-327</v>
      </c>
      <c r="K37" s="45"/>
      <c r="L37" s="119"/>
      <c r="M37" s="119"/>
      <c r="N37" s="119"/>
      <c r="O37" s="4">
        <v>-4618.6957158000005</v>
      </c>
      <c r="P37" s="69">
        <v>-53.194284199999856</v>
      </c>
      <c r="Q37" s="5"/>
    </row>
    <row r="38" spans="1:17" ht="18" customHeight="1">
      <c r="A38" s="46" t="s">
        <v>36</v>
      </c>
      <c r="B38" s="47" t="s">
        <v>37</v>
      </c>
      <c r="C38" s="73">
        <v>6958.4400000000105</v>
      </c>
      <c r="D38" s="64">
        <f>D35+D37</f>
        <v>5046.772965900059</v>
      </c>
      <c r="E38" s="77">
        <v>2396.55</v>
      </c>
      <c r="F38" s="64">
        <f>F35+F37</f>
        <v>2003.989999999998</v>
      </c>
      <c r="G38" s="64">
        <f>G35+G37</f>
        <v>7617.471525599923</v>
      </c>
      <c r="H38" s="64">
        <f>H35+H37</f>
        <v>3110.3699999999735</v>
      </c>
      <c r="I38" s="64">
        <f>I35+I37</f>
        <v>2131.0000000000227</v>
      </c>
      <c r="J38" s="64">
        <f>J35+J37</f>
        <v>-9118</v>
      </c>
      <c r="K38" s="45"/>
      <c r="L38" s="119">
        <v>5034.63</v>
      </c>
      <c r="M38" s="119">
        <v>-12.132965900049385</v>
      </c>
      <c r="N38" s="119"/>
      <c r="O38" s="4">
        <v>7609.793956399935</v>
      </c>
      <c r="P38" s="69">
        <v>7.67756919997646</v>
      </c>
      <c r="Q38" s="5"/>
    </row>
    <row r="39" spans="1:17" ht="18" customHeight="1">
      <c r="A39" s="46"/>
      <c r="B39" s="47" t="s">
        <v>38</v>
      </c>
      <c r="C39" s="65"/>
      <c r="D39" s="66"/>
      <c r="E39" s="67"/>
      <c r="F39" s="61"/>
      <c r="G39" s="63"/>
      <c r="H39" s="64"/>
      <c r="I39" s="64"/>
      <c r="J39" s="64"/>
      <c r="K39" s="45"/>
      <c r="L39" s="119"/>
      <c r="M39" s="119"/>
      <c r="N39" s="119"/>
      <c r="O39" s="4"/>
      <c r="Q39" s="5"/>
    </row>
    <row r="40" spans="1:17" ht="18" customHeight="1">
      <c r="A40" s="46" t="s">
        <v>39</v>
      </c>
      <c r="B40" s="47" t="s">
        <v>40</v>
      </c>
      <c r="C40" s="65">
        <v>338</v>
      </c>
      <c r="D40" s="74">
        <v>1009</v>
      </c>
      <c r="E40" s="74">
        <v>750</v>
      </c>
      <c r="F40" s="74">
        <v>192</v>
      </c>
      <c r="G40" s="74">
        <v>-1184.25</v>
      </c>
      <c r="H40" s="64">
        <v>1.55</v>
      </c>
      <c r="I40" s="64">
        <v>-1220</v>
      </c>
      <c r="J40" s="64">
        <v>-2700</v>
      </c>
      <c r="K40" s="45"/>
      <c r="L40" s="119"/>
      <c r="M40" s="119"/>
      <c r="N40" s="119"/>
      <c r="O40" s="4"/>
      <c r="Q40" s="5"/>
    </row>
    <row r="41" spans="1:17" ht="18" customHeight="1">
      <c r="A41" s="46" t="s">
        <v>125</v>
      </c>
      <c r="B41" s="47" t="s">
        <v>41</v>
      </c>
      <c r="C41" s="65"/>
      <c r="D41" s="66"/>
      <c r="E41" s="67"/>
      <c r="F41" s="61"/>
      <c r="G41" s="63"/>
      <c r="H41" s="64"/>
      <c r="I41" s="64"/>
      <c r="J41" s="64"/>
      <c r="K41" s="45"/>
      <c r="L41" s="119"/>
      <c r="M41" s="119"/>
      <c r="N41" s="119"/>
      <c r="O41" s="4"/>
      <c r="Q41" s="5"/>
    </row>
    <row r="42" spans="1:17" ht="18" customHeight="1">
      <c r="A42" s="70"/>
      <c r="B42" s="47" t="s">
        <v>42</v>
      </c>
      <c r="C42" s="73">
        <v>6620.4400000000105</v>
      </c>
      <c r="D42" s="64">
        <f>D38-D40</f>
        <v>4037.772965900059</v>
      </c>
      <c r="E42" s="77">
        <v>1646.55</v>
      </c>
      <c r="F42" s="64">
        <f>F38-F40</f>
        <v>1811.989999999998</v>
      </c>
      <c r="G42" s="64">
        <f>G38-G40</f>
        <v>8801.721525599922</v>
      </c>
      <c r="H42" s="64">
        <f>H38-H40</f>
        <v>3108.8199999999733</v>
      </c>
      <c r="I42" s="64">
        <f>I38-I40</f>
        <v>3351.0000000000227</v>
      </c>
      <c r="J42" s="64">
        <f>J38-J40</f>
        <v>-6418</v>
      </c>
      <c r="K42" s="45"/>
      <c r="L42" s="119"/>
      <c r="M42" s="119"/>
      <c r="N42" s="119"/>
      <c r="O42" s="4"/>
      <c r="Q42" s="5"/>
    </row>
    <row r="43" spans="1:17" ht="18" customHeight="1">
      <c r="A43" s="70" t="s">
        <v>59</v>
      </c>
      <c r="B43" s="47" t="s">
        <v>122</v>
      </c>
      <c r="C43" s="172"/>
      <c r="D43" s="64"/>
      <c r="E43" s="77"/>
      <c r="F43" s="64"/>
      <c r="G43" s="74"/>
      <c r="H43" s="64"/>
      <c r="I43" s="64">
        <v>1</v>
      </c>
      <c r="J43" s="64">
        <v>98</v>
      </c>
      <c r="K43" s="45"/>
      <c r="L43" s="119"/>
      <c r="M43" s="119"/>
      <c r="N43" s="119"/>
      <c r="O43" s="4"/>
      <c r="Q43" s="5"/>
    </row>
    <row r="44" spans="1:17" ht="18" customHeight="1">
      <c r="A44" s="46" t="s">
        <v>43</v>
      </c>
      <c r="B44" s="47" t="s">
        <v>44</v>
      </c>
      <c r="C44" s="65"/>
      <c r="D44" s="66">
        <v>0</v>
      </c>
      <c r="E44" s="67"/>
      <c r="F44" s="68">
        <v>0</v>
      </c>
      <c r="G44" s="74">
        <v>0</v>
      </c>
      <c r="H44" s="64">
        <v>0</v>
      </c>
      <c r="I44" s="64">
        <v>0</v>
      </c>
      <c r="J44" s="64">
        <v>0</v>
      </c>
      <c r="K44" s="64"/>
      <c r="L44" s="121"/>
      <c r="M44" s="121"/>
      <c r="N44" s="121"/>
      <c r="O44" s="4"/>
      <c r="Q44" s="5"/>
    </row>
    <row r="45" spans="1:17" ht="18" customHeight="1">
      <c r="A45" s="46" t="s">
        <v>45</v>
      </c>
      <c r="B45" s="47" t="s">
        <v>46</v>
      </c>
      <c r="C45" s="73">
        <v>6620.4400000000105</v>
      </c>
      <c r="D45" s="64">
        <f>SUM(D42:D43)-D44</f>
        <v>4037.772965900059</v>
      </c>
      <c r="E45" s="77">
        <v>1646.55</v>
      </c>
      <c r="F45" s="64">
        <f>SUM(F42:F43)-F44</f>
        <v>1811.989999999998</v>
      </c>
      <c r="G45" s="64">
        <f>SUM(G42:G43)-G44</f>
        <v>8801.721525599922</v>
      </c>
      <c r="H45" s="64">
        <f>SUM(H42:H43)-H44</f>
        <v>3108.8199999999733</v>
      </c>
      <c r="I45" s="64">
        <f>SUM(I42:I43)-I44</f>
        <v>3352.0000000000227</v>
      </c>
      <c r="J45" s="64">
        <f>SUM(J42:J43)-J44</f>
        <v>-6320</v>
      </c>
      <c r="K45" s="45"/>
      <c r="L45" s="119"/>
      <c r="M45" s="119"/>
      <c r="N45" s="119"/>
      <c r="O45" s="4"/>
      <c r="Q45" s="5"/>
    </row>
    <row r="46" spans="1:17" ht="18" customHeight="1">
      <c r="A46" s="46" t="s">
        <v>47</v>
      </c>
      <c r="B46" s="47" t="s">
        <v>48</v>
      </c>
      <c r="C46" s="65"/>
      <c r="D46" s="66"/>
      <c r="E46" s="67"/>
      <c r="F46" s="61"/>
      <c r="G46" s="43"/>
      <c r="H46" s="64"/>
      <c r="I46" s="64"/>
      <c r="J46" s="64"/>
      <c r="K46" s="45"/>
      <c r="L46" s="119"/>
      <c r="M46" s="119"/>
      <c r="N46" s="119"/>
      <c r="O46" s="4"/>
      <c r="Q46" s="5"/>
    </row>
    <row r="47" spans="1:17" ht="18" customHeight="1">
      <c r="A47" s="46"/>
      <c r="B47" s="47" t="s">
        <v>49</v>
      </c>
      <c r="C47" s="65">
        <v>2375</v>
      </c>
      <c r="D47" s="68">
        <v>2375</v>
      </c>
      <c r="E47" s="62">
        <v>2375</v>
      </c>
      <c r="F47" s="68">
        <v>2375</v>
      </c>
      <c r="G47" s="43">
        <v>2375</v>
      </c>
      <c r="H47" s="64">
        <v>2375</v>
      </c>
      <c r="I47" s="64">
        <v>2375</v>
      </c>
      <c r="J47" s="64">
        <v>2375</v>
      </c>
      <c r="K47" s="45"/>
      <c r="L47" s="119"/>
      <c r="M47" s="119"/>
      <c r="N47" s="119"/>
      <c r="O47" s="4"/>
      <c r="Q47" s="5"/>
    </row>
    <row r="48" spans="1:17" ht="18" customHeight="1">
      <c r="A48" s="46" t="s">
        <v>50</v>
      </c>
      <c r="B48" s="79" t="s">
        <v>51</v>
      </c>
      <c r="C48" s="73"/>
      <c r="D48" s="66"/>
      <c r="E48" s="66"/>
      <c r="F48" s="66">
        <v>0</v>
      </c>
      <c r="G48" s="66">
        <v>0</v>
      </c>
      <c r="H48" s="80">
        <v>78641</v>
      </c>
      <c r="I48" s="64">
        <v>60976</v>
      </c>
      <c r="J48" s="64">
        <v>61643</v>
      </c>
      <c r="K48" s="81"/>
      <c r="L48" s="122"/>
      <c r="M48" s="122"/>
      <c r="N48" s="122"/>
      <c r="O48" s="4"/>
      <c r="Q48" s="5"/>
    </row>
    <row r="49" spans="1:17" ht="18" customHeight="1">
      <c r="A49" s="46"/>
      <c r="B49" s="47" t="s">
        <v>52</v>
      </c>
      <c r="C49" s="60"/>
      <c r="D49" s="61"/>
      <c r="E49" s="62"/>
      <c r="F49" s="61"/>
      <c r="G49" s="63"/>
      <c r="H49" s="64"/>
      <c r="I49" s="80"/>
      <c r="J49" s="80"/>
      <c r="K49" s="45"/>
      <c r="L49" s="119"/>
      <c r="M49" s="119"/>
      <c r="N49" s="119"/>
      <c r="O49" s="4"/>
      <c r="Q49" s="5"/>
    </row>
    <row r="50" spans="1:17" ht="18" customHeight="1">
      <c r="A50" s="46" t="s">
        <v>53</v>
      </c>
      <c r="B50" s="47" t="s">
        <v>54</v>
      </c>
      <c r="C50" s="60"/>
      <c r="D50" s="61"/>
      <c r="E50" s="62"/>
      <c r="F50" s="61"/>
      <c r="G50" s="63"/>
      <c r="H50" s="64"/>
      <c r="I50" s="64"/>
      <c r="J50" s="64"/>
      <c r="K50" s="45"/>
      <c r="L50" s="119"/>
      <c r="M50" s="119"/>
      <c r="N50" s="119"/>
      <c r="O50" s="4"/>
      <c r="Q50" s="5"/>
    </row>
    <row r="51" spans="1:17" ht="18" customHeight="1">
      <c r="A51" s="46" t="s">
        <v>55</v>
      </c>
      <c r="B51" s="47" t="s">
        <v>56</v>
      </c>
      <c r="C51" s="60"/>
      <c r="D51" s="61"/>
      <c r="E51" s="62"/>
      <c r="F51" s="61"/>
      <c r="G51" s="63"/>
      <c r="H51" s="64"/>
      <c r="I51" s="64"/>
      <c r="J51" s="64"/>
      <c r="K51" s="82"/>
      <c r="L51" s="123"/>
      <c r="M51" s="123"/>
      <c r="N51" s="123"/>
      <c r="O51" s="4"/>
      <c r="Q51" s="5"/>
    </row>
    <row r="52" spans="1:17" ht="18" customHeight="1">
      <c r="A52" s="70"/>
      <c r="B52" s="47" t="s">
        <v>57</v>
      </c>
      <c r="C52" s="60"/>
      <c r="D52" s="61"/>
      <c r="E52" s="62"/>
      <c r="F52" s="61"/>
      <c r="G52" s="63"/>
      <c r="H52" s="64"/>
      <c r="I52" s="64"/>
      <c r="J52" s="64"/>
      <c r="K52" s="82"/>
      <c r="L52" s="123"/>
      <c r="M52" s="123"/>
      <c r="N52" s="123"/>
      <c r="O52" s="4"/>
      <c r="Q52" s="5"/>
    </row>
    <row r="53" spans="1:17" ht="18" customHeight="1">
      <c r="A53" s="70"/>
      <c r="B53" s="47" t="s">
        <v>58</v>
      </c>
      <c r="C53" s="83">
        <v>2.787553684210531</v>
      </c>
      <c r="D53" s="77">
        <f>D45/D47</f>
        <v>1.7001149330105512</v>
      </c>
      <c r="E53" s="77">
        <v>0.6932842105263158</v>
      </c>
      <c r="F53" s="77">
        <f>F45/F47</f>
        <v>0.762943157894736</v>
      </c>
      <c r="G53" s="74">
        <f>G45/G47</f>
        <v>3.7059880107789143</v>
      </c>
      <c r="H53" s="74">
        <f>H45/H47</f>
        <v>1.308976842105252</v>
      </c>
      <c r="I53" s="74">
        <f>I45/I47</f>
        <v>1.4113684210526412</v>
      </c>
      <c r="J53" s="74">
        <f>J45/J47</f>
        <v>-2.6610526315789476</v>
      </c>
      <c r="K53" s="82"/>
      <c r="L53" s="123"/>
      <c r="M53" s="123"/>
      <c r="N53" s="123"/>
      <c r="O53" s="4"/>
      <c r="Q53" s="5"/>
    </row>
    <row r="54" spans="1:17" ht="18" customHeight="1">
      <c r="A54" s="46" t="s">
        <v>59</v>
      </c>
      <c r="B54" s="47" t="s">
        <v>60</v>
      </c>
      <c r="C54" s="60"/>
      <c r="D54" s="61"/>
      <c r="E54" s="62"/>
      <c r="F54" s="61"/>
      <c r="G54" s="63"/>
      <c r="H54" s="64"/>
      <c r="I54" s="64"/>
      <c r="J54" s="64"/>
      <c r="K54" s="82"/>
      <c r="L54" s="123"/>
      <c r="M54" s="123"/>
      <c r="N54" s="123"/>
      <c r="O54" s="4"/>
      <c r="Q54" s="5"/>
    </row>
    <row r="55" spans="1:17" ht="18" customHeight="1">
      <c r="A55" s="70"/>
      <c r="B55" s="47" t="s">
        <v>57</v>
      </c>
      <c r="C55" s="60"/>
      <c r="D55" s="61"/>
      <c r="E55" s="62"/>
      <c r="F55" s="61"/>
      <c r="G55" s="63"/>
      <c r="H55" s="64"/>
      <c r="I55" s="64"/>
      <c r="J55" s="64"/>
      <c r="K55" s="82"/>
      <c r="L55" s="123"/>
      <c r="M55" s="123"/>
      <c r="N55" s="123"/>
      <c r="O55" s="4"/>
      <c r="Q55" s="5"/>
    </row>
    <row r="56" spans="1:17" ht="18" customHeight="1">
      <c r="A56" s="70"/>
      <c r="B56" s="47" t="s">
        <v>58</v>
      </c>
      <c r="C56" s="83">
        <v>2.787553684210531</v>
      </c>
      <c r="D56" s="74">
        <f>D53</f>
        <v>1.7001149330105512</v>
      </c>
      <c r="E56" s="74">
        <f aca="true" t="shared" si="0" ref="E56:J56">E53</f>
        <v>0.6932842105263158</v>
      </c>
      <c r="F56" s="74">
        <f t="shared" si="0"/>
        <v>0.762943157894736</v>
      </c>
      <c r="G56" s="74">
        <f t="shared" si="0"/>
        <v>3.7059880107789143</v>
      </c>
      <c r="H56" s="74">
        <f t="shared" si="0"/>
        <v>1.308976842105252</v>
      </c>
      <c r="I56" s="74">
        <f t="shared" si="0"/>
        <v>1.4113684210526412</v>
      </c>
      <c r="J56" s="74">
        <f t="shared" si="0"/>
        <v>-2.6610526315789476</v>
      </c>
      <c r="K56" s="82"/>
      <c r="L56" s="123"/>
      <c r="M56" s="123"/>
      <c r="N56" s="123"/>
      <c r="O56" s="4"/>
      <c r="Q56" s="5"/>
    </row>
    <row r="57" spans="1:17" ht="18" customHeight="1">
      <c r="A57" s="46" t="s">
        <v>61</v>
      </c>
      <c r="B57" s="47" t="s">
        <v>62</v>
      </c>
      <c r="C57" s="60"/>
      <c r="D57" s="61"/>
      <c r="E57" s="62"/>
      <c r="F57" s="61"/>
      <c r="G57" s="63"/>
      <c r="H57" s="64"/>
      <c r="I57" s="64"/>
      <c r="J57" s="64"/>
      <c r="K57" s="82"/>
      <c r="L57" s="123"/>
      <c r="M57" s="123"/>
      <c r="N57" s="123"/>
      <c r="O57" s="4"/>
      <c r="Q57" s="5"/>
    </row>
    <row r="58" spans="1:17" ht="18" customHeight="1">
      <c r="A58" s="70"/>
      <c r="B58" s="79" t="s">
        <v>63</v>
      </c>
      <c r="C58" s="84">
        <v>93955664</v>
      </c>
      <c r="D58" s="85">
        <v>93955664</v>
      </c>
      <c r="E58" s="86">
        <v>101202164</v>
      </c>
      <c r="F58" s="85">
        <v>93955664</v>
      </c>
      <c r="G58" s="85">
        <v>93955664</v>
      </c>
      <c r="H58" s="85">
        <v>101202164</v>
      </c>
      <c r="I58" s="64"/>
      <c r="J58" s="64"/>
      <c r="K58" s="45"/>
      <c r="L58" s="119"/>
      <c r="M58" s="119"/>
      <c r="N58" s="119"/>
      <c r="O58" s="4"/>
      <c r="Q58" s="5"/>
    </row>
    <row r="59" spans="1:17" ht="18" customHeight="1">
      <c r="A59" s="70"/>
      <c r="B59" s="79" t="s">
        <v>64</v>
      </c>
      <c r="C59" s="83">
        <v>39.55</v>
      </c>
      <c r="D59" s="64">
        <v>39.55302563731502</v>
      </c>
      <c r="E59" s="86">
        <v>42.6</v>
      </c>
      <c r="F59" s="64">
        <v>39.55302563731502</v>
      </c>
      <c r="G59" s="85">
        <v>39.55</v>
      </c>
      <c r="H59" s="64">
        <v>42.6</v>
      </c>
      <c r="I59" s="85"/>
      <c r="J59" s="85"/>
      <c r="K59" s="45"/>
      <c r="L59" s="119"/>
      <c r="M59" s="119"/>
      <c r="N59" s="119"/>
      <c r="O59" s="4"/>
      <c r="Q59" s="5"/>
    </row>
    <row r="60" spans="1:17" ht="18" customHeight="1">
      <c r="A60" s="46" t="s">
        <v>65</v>
      </c>
      <c r="B60" s="47" t="s">
        <v>66</v>
      </c>
      <c r="C60" s="60"/>
      <c r="D60" s="61"/>
      <c r="E60" s="62"/>
      <c r="F60" s="61"/>
      <c r="G60" s="63"/>
      <c r="H60" s="64"/>
      <c r="I60" s="64"/>
      <c r="J60" s="64"/>
      <c r="K60" s="45"/>
      <c r="L60" s="119"/>
      <c r="M60" s="119"/>
      <c r="N60" s="119"/>
      <c r="O60" s="4"/>
      <c r="Q60" s="5"/>
    </row>
    <row r="61" spans="1:17" ht="18" customHeight="1">
      <c r="A61" s="46" t="s">
        <v>55</v>
      </c>
      <c r="B61" s="47" t="s">
        <v>67</v>
      </c>
      <c r="C61" s="60"/>
      <c r="D61" s="61"/>
      <c r="E61" s="62"/>
      <c r="F61" s="61"/>
      <c r="G61" s="63"/>
      <c r="H61" s="64"/>
      <c r="I61" s="64"/>
      <c r="J61" s="64"/>
      <c r="K61" s="45"/>
      <c r="L61" s="119"/>
      <c r="M61" s="119"/>
      <c r="N61" s="119"/>
      <c r="O61" s="4"/>
      <c r="Q61" s="5"/>
    </row>
    <row r="62" spans="1:17" ht="18" customHeight="1">
      <c r="A62" s="46"/>
      <c r="B62" s="79" t="s">
        <v>63</v>
      </c>
      <c r="C62" s="87" t="s">
        <v>68</v>
      </c>
      <c r="D62" s="115" t="s">
        <v>68</v>
      </c>
      <c r="E62" s="115" t="s">
        <v>68</v>
      </c>
      <c r="F62" s="115" t="s">
        <v>68</v>
      </c>
      <c r="G62" s="115" t="s">
        <v>68</v>
      </c>
      <c r="H62" s="116" t="s">
        <v>68</v>
      </c>
      <c r="I62" s="64"/>
      <c r="J62" s="64"/>
      <c r="K62" s="45"/>
      <c r="L62" s="119"/>
      <c r="M62" s="119"/>
      <c r="N62" s="119"/>
      <c r="O62" s="4"/>
      <c r="Q62" s="5"/>
    </row>
    <row r="63" spans="1:17" ht="18" customHeight="1">
      <c r="A63" s="46"/>
      <c r="B63" s="79" t="s">
        <v>69</v>
      </c>
      <c r="C63" s="87"/>
      <c r="D63" s="115"/>
      <c r="E63" s="115"/>
      <c r="F63" s="115"/>
      <c r="G63" s="115"/>
      <c r="H63" s="116"/>
      <c r="I63" s="116"/>
      <c r="J63" s="116"/>
      <c r="K63" s="45"/>
      <c r="L63" s="119"/>
      <c r="M63" s="119"/>
      <c r="N63" s="119"/>
      <c r="O63" s="4"/>
      <c r="Q63" s="5"/>
    </row>
    <row r="64" spans="1:17" ht="18" customHeight="1">
      <c r="A64" s="46"/>
      <c r="B64" s="47" t="s">
        <v>70</v>
      </c>
      <c r="C64" s="87" t="s">
        <v>68</v>
      </c>
      <c r="D64" s="115" t="s">
        <v>68</v>
      </c>
      <c r="E64" s="115" t="s">
        <v>68</v>
      </c>
      <c r="F64" s="115" t="s">
        <v>68</v>
      </c>
      <c r="G64" s="115" t="s">
        <v>68</v>
      </c>
      <c r="H64" s="116" t="s">
        <v>68</v>
      </c>
      <c r="I64" s="116"/>
      <c r="J64" s="116"/>
      <c r="K64" s="45"/>
      <c r="L64" s="119"/>
      <c r="M64" s="119"/>
      <c r="N64" s="119"/>
      <c r="O64" s="4"/>
      <c r="Q64" s="5"/>
    </row>
    <row r="65" spans="1:17" ht="18" customHeight="1">
      <c r="A65" s="46"/>
      <c r="B65" s="79" t="s">
        <v>71</v>
      </c>
      <c r="C65" s="87"/>
      <c r="D65" s="115"/>
      <c r="E65" s="115"/>
      <c r="F65" s="115"/>
      <c r="G65" s="115"/>
      <c r="H65" s="116"/>
      <c r="I65" s="116"/>
      <c r="J65" s="116"/>
      <c r="K65" s="45"/>
      <c r="L65" s="119"/>
      <c r="M65" s="119"/>
      <c r="N65" s="119"/>
      <c r="O65" s="4"/>
      <c r="Q65" s="5"/>
    </row>
    <row r="66" spans="1:17" ht="18" customHeight="1">
      <c r="A66" s="46"/>
      <c r="B66" s="47" t="s">
        <v>72</v>
      </c>
      <c r="C66" s="87" t="s">
        <v>68</v>
      </c>
      <c r="D66" s="115" t="s">
        <v>68</v>
      </c>
      <c r="E66" s="115" t="s">
        <v>68</v>
      </c>
      <c r="F66" s="115" t="s">
        <v>68</v>
      </c>
      <c r="G66" s="115" t="s">
        <v>68</v>
      </c>
      <c r="H66" s="116" t="s">
        <v>68</v>
      </c>
      <c r="I66" s="116"/>
      <c r="J66" s="116"/>
      <c r="K66" s="45"/>
      <c r="L66" s="119"/>
      <c r="M66" s="119"/>
      <c r="N66" s="119"/>
      <c r="O66" s="4"/>
      <c r="Q66" s="5"/>
    </row>
    <row r="67" spans="1:17" ht="18" customHeight="1">
      <c r="A67" s="46" t="s">
        <v>59</v>
      </c>
      <c r="B67" s="47" t="s">
        <v>73</v>
      </c>
      <c r="C67" s="60"/>
      <c r="D67" s="61"/>
      <c r="E67" s="62"/>
      <c r="F67" s="61"/>
      <c r="G67" s="63"/>
      <c r="H67" s="64"/>
      <c r="I67" s="116"/>
      <c r="J67" s="116"/>
      <c r="K67" s="45"/>
      <c r="L67" s="119"/>
      <c r="M67" s="119"/>
      <c r="N67" s="119"/>
      <c r="O67" s="4"/>
      <c r="Q67" s="5"/>
    </row>
    <row r="68" spans="1:17" ht="18" customHeight="1">
      <c r="A68" s="46"/>
      <c r="B68" s="79" t="s">
        <v>63</v>
      </c>
      <c r="C68" s="84">
        <v>143587893</v>
      </c>
      <c r="D68" s="85">
        <v>143587893</v>
      </c>
      <c r="E68" s="88">
        <v>136341393</v>
      </c>
      <c r="F68" s="85">
        <v>143587893</v>
      </c>
      <c r="G68" s="85">
        <v>143587893</v>
      </c>
      <c r="H68" s="89">
        <v>136341393</v>
      </c>
      <c r="I68" s="64"/>
      <c r="J68" s="64"/>
      <c r="K68" s="45"/>
      <c r="L68" s="119"/>
      <c r="M68" s="119"/>
      <c r="N68" s="119"/>
      <c r="O68" s="4"/>
      <c r="Q68" s="5"/>
    </row>
    <row r="69" spans="1:17" ht="18" customHeight="1">
      <c r="A69" s="46"/>
      <c r="B69" s="79" t="s">
        <v>69</v>
      </c>
      <c r="C69" s="84"/>
      <c r="D69" s="90"/>
      <c r="E69" s="86"/>
      <c r="F69" s="90"/>
      <c r="G69" s="63"/>
      <c r="H69" s="64"/>
      <c r="I69" s="89"/>
      <c r="J69" s="89"/>
      <c r="K69" s="45"/>
      <c r="L69" s="119"/>
      <c r="M69" s="119"/>
      <c r="N69" s="119"/>
      <c r="O69" s="4"/>
      <c r="Q69" s="5"/>
    </row>
    <row r="70" spans="1:17" ht="18" customHeight="1">
      <c r="A70" s="46"/>
      <c r="B70" s="47" t="s">
        <v>70</v>
      </c>
      <c r="C70" s="60">
        <v>100</v>
      </c>
      <c r="D70" s="91">
        <v>100</v>
      </c>
      <c r="E70" s="62">
        <v>100</v>
      </c>
      <c r="F70" s="91">
        <v>100</v>
      </c>
      <c r="G70" s="91">
        <v>100</v>
      </c>
      <c r="H70" s="64">
        <v>100</v>
      </c>
      <c r="I70" s="64"/>
      <c r="J70" s="64"/>
      <c r="K70" s="45"/>
      <c r="L70" s="119"/>
      <c r="M70" s="119"/>
      <c r="N70" s="119"/>
      <c r="O70" s="4"/>
      <c r="Q70" s="5"/>
    </row>
    <row r="71" spans="1:17" ht="18" customHeight="1">
      <c r="A71" s="46"/>
      <c r="B71" s="79" t="s">
        <v>71</v>
      </c>
      <c r="C71" s="84"/>
      <c r="D71" s="90"/>
      <c r="E71" s="86"/>
      <c r="F71" s="90"/>
      <c r="G71" s="90"/>
      <c r="H71" s="64"/>
      <c r="I71" s="64"/>
      <c r="J71" s="64"/>
      <c r="K71" s="45"/>
      <c r="L71" s="119"/>
      <c r="M71" s="119"/>
      <c r="N71" s="119"/>
      <c r="O71" s="4"/>
      <c r="Q71" s="5"/>
    </row>
    <row r="72" spans="1:17" ht="18" customHeight="1">
      <c r="A72" s="46"/>
      <c r="B72" s="47" t="s">
        <v>72</v>
      </c>
      <c r="C72" s="60">
        <v>60.45</v>
      </c>
      <c r="D72" s="125">
        <v>60.44697436268498</v>
      </c>
      <c r="E72" s="62">
        <v>57.4</v>
      </c>
      <c r="F72" s="125">
        <v>60.44697436268498</v>
      </c>
      <c r="G72" s="91">
        <v>60.45</v>
      </c>
      <c r="H72" s="64">
        <v>57.4</v>
      </c>
      <c r="I72" s="64"/>
      <c r="J72" s="64"/>
      <c r="K72" s="45"/>
      <c r="L72" s="119"/>
      <c r="M72" s="119"/>
      <c r="N72" s="119"/>
      <c r="O72" s="4"/>
      <c r="Q72" s="5"/>
    </row>
    <row r="73" spans="1:17" ht="13.5" customHeight="1">
      <c r="A73" s="92"/>
      <c r="B73" s="93"/>
      <c r="C73" s="94"/>
      <c r="D73" s="95"/>
      <c r="E73" s="96"/>
      <c r="F73" s="95"/>
      <c r="G73" s="97"/>
      <c r="H73" s="98"/>
      <c r="I73" s="57"/>
      <c r="J73" s="58"/>
      <c r="K73" s="63"/>
      <c r="O73" s="4"/>
      <c r="Q73" s="5"/>
    </row>
    <row r="74" spans="1:17" ht="18" customHeight="1">
      <c r="A74" s="100"/>
      <c r="B74" s="101"/>
      <c r="C74" s="102"/>
      <c r="D74" s="101"/>
      <c r="E74" s="102"/>
      <c r="F74" s="101"/>
      <c r="G74" s="101"/>
      <c r="H74" s="165"/>
      <c r="I74" s="166"/>
      <c r="J74" s="184"/>
      <c r="K74" s="12"/>
      <c r="O74" s="4"/>
      <c r="Q74" s="5"/>
    </row>
    <row r="75" spans="1:20" s="4" customFormat="1" ht="18" customHeight="1">
      <c r="A75" s="112" t="s">
        <v>74</v>
      </c>
      <c r="B75" s="13"/>
      <c r="C75" s="14"/>
      <c r="D75" s="13"/>
      <c r="E75" s="14"/>
      <c r="H75" s="103"/>
      <c r="I75" s="103"/>
      <c r="J75" s="185"/>
      <c r="K75" s="12"/>
      <c r="Q75" s="104"/>
      <c r="R75" s="5"/>
      <c r="S75" s="5"/>
      <c r="T75" s="5"/>
    </row>
    <row r="76" spans="1:17" s="4" customFormat="1" ht="18" customHeight="1">
      <c r="A76" s="113">
        <v>1</v>
      </c>
      <c r="B76" s="105" t="s">
        <v>96</v>
      </c>
      <c r="C76" s="126"/>
      <c r="D76" s="105"/>
      <c r="E76" s="126"/>
      <c r="H76" s="103"/>
      <c r="I76" s="103"/>
      <c r="J76" s="185"/>
      <c r="K76" s="12"/>
      <c r="N76" s="104"/>
      <c r="O76" s="5"/>
      <c r="P76" s="5"/>
      <c r="Q76" s="5"/>
    </row>
    <row r="77" spans="1:17" s="4" customFormat="1" ht="18" customHeight="1">
      <c r="A77" s="113">
        <v>2</v>
      </c>
      <c r="B77" s="105" t="s">
        <v>113</v>
      </c>
      <c r="C77" s="126"/>
      <c r="D77" s="105"/>
      <c r="E77" s="126"/>
      <c r="H77" s="103"/>
      <c r="I77" s="103"/>
      <c r="J77" s="185"/>
      <c r="K77" s="12"/>
      <c r="Q77" s="5"/>
    </row>
    <row r="78" spans="1:17" s="4" customFormat="1" ht="18" customHeight="1">
      <c r="A78" s="113"/>
      <c r="B78" s="13" t="s">
        <v>114</v>
      </c>
      <c r="C78" s="14"/>
      <c r="D78" s="105"/>
      <c r="E78" s="126"/>
      <c r="H78" s="103"/>
      <c r="I78" s="103"/>
      <c r="J78" s="185"/>
      <c r="K78" s="12"/>
      <c r="Q78" s="5"/>
    </row>
    <row r="79" spans="1:17" s="4" customFormat="1" ht="18" customHeight="1">
      <c r="A79" s="113">
        <v>3</v>
      </c>
      <c r="B79" s="13" t="s">
        <v>97</v>
      </c>
      <c r="C79" s="14"/>
      <c r="D79" s="13"/>
      <c r="E79" s="14"/>
      <c r="H79" s="150" t="s">
        <v>98</v>
      </c>
      <c r="I79" s="150"/>
      <c r="J79" s="186"/>
      <c r="K79" s="149"/>
      <c r="Q79" s="5"/>
    </row>
    <row r="80" spans="1:17" s="4" customFormat="1" ht="18" customHeight="1">
      <c r="A80" s="113"/>
      <c r="B80" s="127"/>
      <c r="C80" s="102"/>
      <c r="D80" s="379" t="s">
        <v>78</v>
      </c>
      <c r="E80" s="21"/>
      <c r="F80" s="379" t="s">
        <v>90</v>
      </c>
      <c r="G80" s="381" t="s">
        <v>91</v>
      </c>
      <c r="H80" s="383" t="s">
        <v>79</v>
      </c>
      <c r="I80" s="151"/>
      <c r="J80" s="187"/>
      <c r="K80" s="149"/>
      <c r="Q80" s="5"/>
    </row>
    <row r="81" spans="1:17" s="4" customFormat="1" ht="43.5" customHeight="1">
      <c r="A81" s="113"/>
      <c r="B81" s="28" t="s">
        <v>2</v>
      </c>
      <c r="C81" s="14"/>
      <c r="D81" s="380"/>
      <c r="E81" s="128" t="s">
        <v>87</v>
      </c>
      <c r="F81" s="380"/>
      <c r="G81" s="382"/>
      <c r="H81" s="384"/>
      <c r="I81" s="151"/>
      <c r="J81" s="187"/>
      <c r="K81" s="149"/>
      <c r="Q81" s="5"/>
    </row>
    <row r="82" spans="1:17" s="4" customFormat="1" ht="20.25" customHeight="1">
      <c r="A82" s="113"/>
      <c r="B82" s="129"/>
      <c r="C82" s="14"/>
      <c r="D82" s="130" t="s">
        <v>93</v>
      </c>
      <c r="E82" s="131"/>
      <c r="F82" s="130" t="s">
        <v>94</v>
      </c>
      <c r="G82" s="130" t="s">
        <v>75</v>
      </c>
      <c r="H82" s="132" t="s">
        <v>3</v>
      </c>
      <c r="I82" s="141"/>
      <c r="J82" s="30"/>
      <c r="K82" s="149"/>
      <c r="Q82" s="5"/>
    </row>
    <row r="83" spans="1:17" s="4" customFormat="1" ht="18" customHeight="1">
      <c r="A83" s="113"/>
      <c r="B83" s="61" t="s">
        <v>99</v>
      </c>
      <c r="C83" s="14"/>
      <c r="D83" s="133">
        <v>648.77</v>
      </c>
      <c r="E83" s="134"/>
      <c r="F83" s="3">
        <v>543.66</v>
      </c>
      <c r="G83" s="78">
        <v>2335.04</v>
      </c>
      <c r="H83" s="3">
        <v>2175.33</v>
      </c>
      <c r="I83" s="152"/>
      <c r="J83" s="2"/>
      <c r="K83" s="149"/>
      <c r="Q83" s="5"/>
    </row>
    <row r="84" spans="1:17" s="4" customFormat="1" ht="18" customHeight="1">
      <c r="A84" s="113"/>
      <c r="B84" s="61" t="s">
        <v>100</v>
      </c>
      <c r="C84" s="14"/>
      <c r="D84" s="133">
        <v>743</v>
      </c>
      <c r="E84" s="134"/>
      <c r="F84" s="3">
        <v>957.3</v>
      </c>
      <c r="G84" s="78">
        <v>3840</v>
      </c>
      <c r="H84" s="3">
        <v>3628.26</v>
      </c>
      <c r="I84" s="152"/>
      <c r="J84" s="2"/>
      <c r="K84" s="149"/>
      <c r="Q84" s="5"/>
    </row>
    <row r="85" spans="1:17" s="4" customFormat="1" ht="18" customHeight="1">
      <c r="A85" s="113"/>
      <c r="B85" s="129" t="s">
        <v>101</v>
      </c>
      <c r="C85" s="135"/>
      <c r="D85" s="136">
        <v>1391.77</v>
      </c>
      <c r="E85" s="137"/>
      <c r="F85" s="138">
        <v>1500.96</v>
      </c>
      <c r="G85" s="138">
        <v>6175.04</v>
      </c>
      <c r="H85" s="138">
        <v>5803.59</v>
      </c>
      <c r="I85" s="153"/>
      <c r="J85" s="116"/>
      <c r="K85" s="149"/>
      <c r="Q85" s="5"/>
    </row>
    <row r="86" spans="1:17" s="4" customFormat="1" ht="18" customHeight="1">
      <c r="A86" s="113">
        <v>4</v>
      </c>
      <c r="B86" s="13" t="s">
        <v>102</v>
      </c>
      <c r="C86" s="14"/>
      <c r="D86" s="13"/>
      <c r="E86" s="14"/>
      <c r="H86" s="103"/>
      <c r="I86" s="103"/>
      <c r="J86" s="185"/>
      <c r="K86" s="53"/>
      <c r="Q86" s="5"/>
    </row>
    <row r="87" spans="1:17" s="4" customFormat="1" ht="18" customHeight="1">
      <c r="A87" s="59"/>
      <c r="B87" s="13" t="s">
        <v>84</v>
      </c>
      <c r="C87" s="14"/>
      <c r="D87" s="13"/>
      <c r="E87" s="14"/>
      <c r="H87" s="103"/>
      <c r="I87" s="103"/>
      <c r="J87" s="185"/>
      <c r="K87" s="12"/>
      <c r="Q87" s="5"/>
    </row>
    <row r="88" spans="1:17" s="4" customFormat="1" ht="18" customHeight="1">
      <c r="A88" s="59"/>
      <c r="B88" s="13" t="s">
        <v>85</v>
      </c>
      <c r="C88" s="14"/>
      <c r="D88" s="13"/>
      <c r="E88" s="14"/>
      <c r="F88" s="106"/>
      <c r="G88" s="106"/>
      <c r="H88" s="154"/>
      <c r="I88" s="154"/>
      <c r="J88" s="188"/>
      <c r="K88" s="12"/>
      <c r="Q88" s="5"/>
    </row>
    <row r="89" spans="1:17" s="4" customFormat="1" ht="18" customHeight="1">
      <c r="A89" s="113"/>
      <c r="B89" s="13" t="s">
        <v>88</v>
      </c>
      <c r="C89" s="14"/>
      <c r="D89" s="13"/>
      <c r="E89" s="14"/>
      <c r="F89" s="106"/>
      <c r="G89" s="106"/>
      <c r="H89" s="154"/>
      <c r="I89" s="154"/>
      <c r="J89" s="188"/>
      <c r="K89" s="12"/>
      <c r="M89" s="107"/>
      <c r="N89" s="104"/>
      <c r="O89" s="5"/>
      <c r="P89" s="5"/>
      <c r="Q89" s="5"/>
    </row>
    <row r="90" spans="1:17" s="4" customFormat="1" ht="18" customHeight="1">
      <c r="A90" s="113">
        <v>5</v>
      </c>
      <c r="B90" s="13" t="s">
        <v>103</v>
      </c>
      <c r="C90" s="14"/>
      <c r="D90" s="13"/>
      <c r="E90" s="14"/>
      <c r="H90" s="150" t="s">
        <v>98</v>
      </c>
      <c r="I90" s="150"/>
      <c r="J90" s="186"/>
      <c r="K90" s="12"/>
      <c r="M90" s="107"/>
      <c r="N90" s="104"/>
      <c r="O90" s="5"/>
      <c r="P90" s="5"/>
      <c r="Q90" s="5"/>
    </row>
    <row r="91" spans="1:17" s="4" customFormat="1" ht="18" customHeight="1">
      <c r="A91" s="113"/>
      <c r="B91" s="127"/>
      <c r="C91" s="102"/>
      <c r="D91" s="379" t="s">
        <v>78</v>
      </c>
      <c r="E91" s="21"/>
      <c r="F91" s="379" t="s">
        <v>90</v>
      </c>
      <c r="G91" s="381" t="s">
        <v>91</v>
      </c>
      <c r="H91" s="383" t="s">
        <v>79</v>
      </c>
      <c r="I91" s="151"/>
      <c r="J91" s="187"/>
      <c r="K91" s="12"/>
      <c r="N91" s="104"/>
      <c r="O91" s="5"/>
      <c r="P91" s="5"/>
      <c r="Q91" s="5"/>
    </row>
    <row r="92" spans="1:17" s="4" customFormat="1" ht="41.25" customHeight="1">
      <c r="A92" s="113"/>
      <c r="B92" s="28" t="s">
        <v>2</v>
      </c>
      <c r="C92" s="14"/>
      <c r="D92" s="380"/>
      <c r="E92" s="128" t="s">
        <v>87</v>
      </c>
      <c r="F92" s="380"/>
      <c r="G92" s="382"/>
      <c r="H92" s="384"/>
      <c r="I92" s="151"/>
      <c r="J92" s="187"/>
      <c r="K92" s="12"/>
      <c r="L92" s="106"/>
      <c r="N92" s="104"/>
      <c r="O92" s="5"/>
      <c r="P92" s="5"/>
      <c r="Q92" s="5"/>
    </row>
    <row r="93" spans="1:17" s="4" customFormat="1" ht="18" customHeight="1">
      <c r="A93" s="113"/>
      <c r="B93" s="129"/>
      <c r="C93" s="14"/>
      <c r="D93" s="130" t="s">
        <v>93</v>
      </c>
      <c r="E93" s="131"/>
      <c r="F93" s="130" t="s">
        <v>94</v>
      </c>
      <c r="G93" s="130" t="s">
        <v>75</v>
      </c>
      <c r="H93" s="132" t="s">
        <v>3</v>
      </c>
      <c r="I93" s="141"/>
      <c r="J93" s="30"/>
      <c r="K93" s="12"/>
      <c r="L93" s="106"/>
      <c r="Q93" s="5"/>
    </row>
    <row r="94" spans="1:17" s="4" customFormat="1" ht="18" customHeight="1">
      <c r="A94" s="113"/>
      <c r="B94" s="61" t="s">
        <v>104</v>
      </c>
      <c r="C94" s="14"/>
      <c r="D94" s="133">
        <v>0</v>
      </c>
      <c r="E94" s="134"/>
      <c r="F94" s="139" t="s">
        <v>105</v>
      </c>
      <c r="G94" s="133">
        <v>5407.13</v>
      </c>
      <c r="H94" s="140" t="s">
        <v>105</v>
      </c>
      <c r="I94" s="155"/>
      <c r="J94" s="189"/>
      <c r="K94" s="12"/>
      <c r="L94" s="107"/>
      <c r="Q94" s="5"/>
    </row>
    <row r="95" spans="1:17" s="4" customFormat="1" ht="18" customHeight="1">
      <c r="A95" s="113"/>
      <c r="B95" s="61" t="s">
        <v>106</v>
      </c>
      <c r="C95" s="14"/>
      <c r="D95" s="133">
        <v>0</v>
      </c>
      <c r="E95" s="134"/>
      <c r="F95" s="139" t="s">
        <v>105</v>
      </c>
      <c r="G95" s="133">
        <v>-8902.35</v>
      </c>
      <c r="H95" s="140" t="s">
        <v>105</v>
      </c>
      <c r="I95" s="155"/>
      <c r="J95" s="189"/>
      <c r="K95" s="12"/>
      <c r="M95" s="107"/>
      <c r="N95" s="104"/>
      <c r="O95" s="5"/>
      <c r="P95" s="5"/>
      <c r="Q95" s="5"/>
    </row>
    <row r="96" spans="1:17" s="4" customFormat="1" ht="18" customHeight="1">
      <c r="A96" s="113"/>
      <c r="B96" s="61" t="s">
        <v>107</v>
      </c>
      <c r="C96" s="14"/>
      <c r="D96" s="133">
        <v>0</v>
      </c>
      <c r="E96" s="134"/>
      <c r="F96" s="133"/>
      <c r="G96" s="133">
        <v>-1176.67</v>
      </c>
      <c r="H96" s="133">
        <v>-327.21</v>
      </c>
      <c r="I96" s="141"/>
      <c r="J96" s="30"/>
      <c r="K96" s="12"/>
      <c r="M96" s="107"/>
      <c r="N96" s="104"/>
      <c r="O96" s="5"/>
      <c r="P96" s="5"/>
      <c r="Q96" s="5"/>
    </row>
    <row r="97" spans="1:17" s="4" customFormat="1" ht="18" customHeight="1">
      <c r="A97" s="113"/>
      <c r="B97" s="129" t="s">
        <v>101</v>
      </c>
      <c r="C97" s="135"/>
      <c r="D97" s="136">
        <v>0</v>
      </c>
      <c r="E97" s="137"/>
      <c r="F97" s="136">
        <v>0</v>
      </c>
      <c r="G97" s="136">
        <v>-4671.89</v>
      </c>
      <c r="H97" s="136">
        <v>-327.21</v>
      </c>
      <c r="I97" s="141"/>
      <c r="J97" s="30"/>
      <c r="K97" s="12"/>
      <c r="M97" s="107"/>
      <c r="N97" s="104"/>
      <c r="O97" s="5"/>
      <c r="P97" s="5"/>
      <c r="Q97" s="5"/>
    </row>
    <row r="98" spans="1:17" s="4" customFormat="1" ht="18" customHeight="1">
      <c r="A98" s="113"/>
      <c r="B98" s="13"/>
      <c r="C98" s="14"/>
      <c r="D98" s="141"/>
      <c r="E98" s="18"/>
      <c r="F98" s="173"/>
      <c r="G98" s="173"/>
      <c r="H98" s="173"/>
      <c r="I98" s="141"/>
      <c r="J98" s="30"/>
      <c r="K98" s="12"/>
      <c r="M98" s="107"/>
      <c r="N98" s="104"/>
      <c r="O98" s="5"/>
      <c r="P98" s="5"/>
      <c r="Q98" s="5"/>
    </row>
    <row r="99" spans="1:17" s="4" customFormat="1" ht="18" customHeight="1">
      <c r="A99" s="113">
        <v>6</v>
      </c>
      <c r="B99" s="13" t="s">
        <v>127</v>
      </c>
      <c r="C99" s="147"/>
      <c r="D99" s="146"/>
      <c r="E99" s="147"/>
      <c r="F99" s="148"/>
      <c r="G99" s="148"/>
      <c r="H99" s="156"/>
      <c r="I99" s="156"/>
      <c r="J99" s="190"/>
      <c r="K99" s="12"/>
      <c r="M99" s="107"/>
      <c r="N99" s="104"/>
      <c r="O99" s="5"/>
      <c r="P99" s="5"/>
      <c r="Q99" s="5"/>
    </row>
    <row r="100" spans="1:17" s="4" customFormat="1" ht="18" customHeight="1">
      <c r="A100" s="113"/>
      <c r="B100" s="13" t="s">
        <v>128</v>
      </c>
      <c r="C100" s="147"/>
      <c r="D100" s="146"/>
      <c r="E100" s="147"/>
      <c r="F100" s="148"/>
      <c r="G100" s="148"/>
      <c r="H100" s="156"/>
      <c r="I100" s="156"/>
      <c r="J100" s="190"/>
      <c r="K100" s="12"/>
      <c r="M100" s="107"/>
      <c r="N100" s="104"/>
      <c r="O100" s="5"/>
      <c r="P100" s="5"/>
      <c r="Q100" s="5"/>
    </row>
    <row r="101" spans="1:17" s="4" customFormat="1" ht="18" customHeight="1">
      <c r="A101" s="113">
        <v>7</v>
      </c>
      <c r="B101" s="13" t="s">
        <v>112</v>
      </c>
      <c r="C101" s="147"/>
      <c r="D101" s="146"/>
      <c r="E101" s="147"/>
      <c r="F101" s="148"/>
      <c r="G101" s="148"/>
      <c r="H101" s="156"/>
      <c r="I101" s="156"/>
      <c r="J101" s="190"/>
      <c r="K101" s="12"/>
      <c r="M101" s="107"/>
      <c r="N101" s="104"/>
      <c r="O101" s="5"/>
      <c r="P101" s="5"/>
      <c r="Q101" s="5"/>
    </row>
    <row r="102" spans="1:17" s="4" customFormat="1" ht="18" customHeight="1">
      <c r="A102" s="113"/>
      <c r="B102" s="13" t="s">
        <v>129</v>
      </c>
      <c r="C102" s="147"/>
      <c r="D102" s="146"/>
      <c r="E102" s="147"/>
      <c r="F102" s="148"/>
      <c r="G102" s="148"/>
      <c r="H102" s="156"/>
      <c r="I102" s="156"/>
      <c r="J102" s="190"/>
      <c r="K102" s="12"/>
      <c r="N102" s="104"/>
      <c r="O102" s="5"/>
      <c r="P102" s="5"/>
      <c r="Q102" s="5"/>
    </row>
    <row r="103" spans="1:17" s="4" customFormat="1" ht="18" customHeight="1">
      <c r="A103" s="113">
        <v>8</v>
      </c>
      <c r="B103" s="13" t="s">
        <v>108</v>
      </c>
      <c r="C103" s="14"/>
      <c r="D103" s="105"/>
      <c r="E103" s="126"/>
      <c r="H103" s="103"/>
      <c r="I103" s="103"/>
      <c r="J103" s="185"/>
      <c r="K103" s="53"/>
      <c r="N103" s="104"/>
      <c r="O103" s="5"/>
      <c r="P103" s="5"/>
      <c r="Q103" s="5"/>
    </row>
    <row r="104" spans="1:17" s="4" customFormat="1" ht="18" customHeight="1">
      <c r="A104" s="113">
        <v>9</v>
      </c>
      <c r="B104" s="13" t="s">
        <v>89</v>
      </c>
      <c r="C104" s="14"/>
      <c r="D104" s="105"/>
      <c r="E104" s="126"/>
      <c r="H104" s="103"/>
      <c r="I104" s="103"/>
      <c r="J104" s="185"/>
      <c r="K104" s="53"/>
      <c r="N104" s="104"/>
      <c r="O104" s="5"/>
      <c r="P104" s="5"/>
      <c r="Q104" s="5"/>
    </row>
    <row r="105" spans="1:17" s="4" customFormat="1" ht="18" customHeight="1">
      <c r="A105" s="113"/>
      <c r="B105" s="13" t="s">
        <v>109</v>
      </c>
      <c r="C105" s="14"/>
      <c r="D105" s="105"/>
      <c r="E105" s="126"/>
      <c r="J105" s="16"/>
      <c r="K105" s="53"/>
      <c r="N105" s="104"/>
      <c r="O105" s="5"/>
      <c r="P105" s="5"/>
      <c r="Q105" s="5"/>
    </row>
    <row r="106" spans="1:17" s="4" customFormat="1" ht="18" customHeight="1">
      <c r="A106" s="113"/>
      <c r="B106" s="13"/>
      <c r="C106" s="14"/>
      <c r="D106" s="105"/>
      <c r="E106" s="126"/>
      <c r="J106" s="16"/>
      <c r="K106" s="53"/>
      <c r="N106" s="104"/>
      <c r="O106" s="5"/>
      <c r="P106" s="5"/>
      <c r="Q106" s="5"/>
    </row>
    <row r="107" spans="1:17" s="4" customFormat="1" ht="18" customHeight="1">
      <c r="A107" s="113"/>
      <c r="B107" s="13"/>
      <c r="C107" s="14"/>
      <c r="D107" s="105"/>
      <c r="E107" s="126"/>
      <c r="J107" s="16"/>
      <c r="K107" s="53"/>
      <c r="N107" s="104"/>
      <c r="O107" s="5"/>
      <c r="P107" s="5"/>
      <c r="Q107" s="5"/>
    </row>
    <row r="108" spans="1:17" s="4" customFormat="1" ht="18" customHeight="1">
      <c r="A108" s="114" t="s">
        <v>124</v>
      </c>
      <c r="B108" s="13"/>
      <c r="C108" s="14"/>
      <c r="D108" s="13"/>
      <c r="E108" s="14"/>
      <c r="J108" s="16"/>
      <c r="K108" s="149"/>
      <c r="L108" s="106"/>
      <c r="M108" s="106"/>
      <c r="N108" s="104"/>
      <c r="O108" s="5"/>
      <c r="P108" s="5"/>
      <c r="Q108" s="5"/>
    </row>
    <row r="109" spans="1:17" s="4" customFormat="1" ht="18" customHeight="1">
      <c r="A109" s="113" t="s">
        <v>110</v>
      </c>
      <c r="B109" s="117"/>
      <c r="C109" s="14"/>
      <c r="D109" s="13"/>
      <c r="E109" s="14"/>
      <c r="J109" s="16"/>
      <c r="K109" s="149"/>
      <c r="L109" s="106"/>
      <c r="M109" s="106"/>
      <c r="N109" s="104"/>
      <c r="O109" s="5"/>
      <c r="P109" s="5"/>
      <c r="Q109" s="5"/>
    </row>
    <row r="110" spans="1:17" s="4" customFormat="1" ht="18" customHeight="1">
      <c r="A110" s="142"/>
      <c r="B110" s="13"/>
      <c r="C110" s="143"/>
      <c r="D110" s="13"/>
      <c r="E110" s="14"/>
      <c r="G110" s="107"/>
      <c r="H110" s="157"/>
      <c r="I110" s="157"/>
      <c r="J110" s="181"/>
      <c r="K110" s="12"/>
      <c r="M110" s="104"/>
      <c r="N110" s="104"/>
      <c r="O110" s="5"/>
      <c r="P110" s="5"/>
      <c r="Q110" s="5"/>
    </row>
    <row r="111" spans="1:17" ht="18" customHeight="1">
      <c r="A111" s="12"/>
      <c r="B111" s="13"/>
      <c r="C111" s="143"/>
      <c r="D111" s="13"/>
      <c r="E111" s="14"/>
      <c r="F111" s="378"/>
      <c r="G111" s="378"/>
      <c r="H111" s="378"/>
      <c r="I111" s="107"/>
      <c r="J111" s="182"/>
      <c r="K111" s="12"/>
      <c r="M111" s="5"/>
      <c r="Q111" s="5"/>
    </row>
    <row r="112" spans="1:17" ht="18" customHeight="1">
      <c r="A112" s="12"/>
      <c r="B112" s="104"/>
      <c r="C112" s="143"/>
      <c r="D112" s="13"/>
      <c r="E112" s="14"/>
      <c r="F112" s="378"/>
      <c r="G112" s="378"/>
      <c r="H112" s="378"/>
      <c r="I112" s="107"/>
      <c r="J112" s="182"/>
      <c r="K112" s="12"/>
      <c r="M112" s="5"/>
      <c r="Q112" s="5"/>
    </row>
    <row r="113" spans="1:17" ht="18" customHeight="1">
      <c r="A113" s="92"/>
      <c r="B113" s="124"/>
      <c r="C113" s="144"/>
      <c r="D113" s="145"/>
      <c r="E113" s="135"/>
      <c r="F113" s="174" t="s">
        <v>83</v>
      </c>
      <c r="G113" s="175"/>
      <c r="H113" s="176"/>
      <c r="I113" s="176"/>
      <c r="J113" s="183"/>
      <c r="K113" s="12"/>
      <c r="M113" s="5"/>
      <c r="Q113" s="5"/>
    </row>
    <row r="114" spans="1:20" s="4" customFormat="1" ht="18" customHeight="1" thickBot="1">
      <c r="A114" s="113"/>
      <c r="B114" s="13"/>
      <c r="C114" s="14"/>
      <c r="D114" s="13"/>
      <c r="E114" s="14"/>
      <c r="F114" s="106"/>
      <c r="G114" s="106"/>
      <c r="H114" s="158"/>
      <c r="I114" s="158"/>
      <c r="J114" s="158"/>
      <c r="K114" s="180"/>
      <c r="L114" s="106"/>
      <c r="M114" s="106"/>
      <c r="N114" s="106"/>
      <c r="O114" s="106"/>
      <c r="P114" s="106"/>
      <c r="Q114" s="104"/>
      <c r="R114" s="5"/>
      <c r="S114" s="5"/>
      <c r="T114" s="5"/>
    </row>
    <row r="115" spans="1:20" s="4" customFormat="1" ht="18" customHeight="1">
      <c r="A115" s="177"/>
      <c r="B115" s="178"/>
      <c r="C115" s="144"/>
      <c r="D115" s="178"/>
      <c r="E115" s="179"/>
      <c r="F115" s="178"/>
      <c r="G115" s="124"/>
      <c r="H115" s="159"/>
      <c r="I115" s="159"/>
      <c r="J115" s="159"/>
      <c r="K115" s="99"/>
      <c r="L115" s="124"/>
      <c r="M115" s="124"/>
      <c r="N115" s="124"/>
      <c r="O115" s="109"/>
      <c r="P115" s="108"/>
      <c r="Q115" s="104"/>
      <c r="R115" s="5"/>
      <c r="S115" s="5"/>
      <c r="T115" s="5"/>
    </row>
    <row r="122" spans="4:6" ht="18" customHeight="1">
      <c r="D122" s="5">
        <v>-5.25</v>
      </c>
      <c r="F122" s="5">
        <v>969.03</v>
      </c>
    </row>
    <row r="123" spans="4:6" ht="18" customHeight="1">
      <c r="D123" s="5">
        <v>74672.74</v>
      </c>
      <c r="F123" s="5">
        <v>221079.69</v>
      </c>
    </row>
    <row r="124" spans="4:6" ht="18" customHeight="1">
      <c r="D124" s="5">
        <v>2113.46</v>
      </c>
      <c r="F124" s="5">
        <v>5806.81</v>
      </c>
    </row>
    <row r="125" ht="18" customHeight="1">
      <c r="F125" s="5">
        <v>227855.53</v>
      </c>
    </row>
    <row r="126" ht="18" customHeight="1">
      <c r="F126" s="5">
        <v>222832.94</v>
      </c>
    </row>
    <row r="127" ht="18" customHeight="1">
      <c r="F127" s="5">
        <v>5022.59</v>
      </c>
    </row>
  </sheetData>
  <sheetProtection/>
  <mergeCells count="25">
    <mergeCell ref="D91:D92"/>
    <mergeCell ref="F91:F92"/>
    <mergeCell ref="G91:G92"/>
    <mergeCell ref="H91:H92"/>
    <mergeCell ref="F111:H112"/>
    <mergeCell ref="J10:J11"/>
    <mergeCell ref="D14:F14"/>
    <mergeCell ref="G14:H14"/>
    <mergeCell ref="I14:J14"/>
    <mergeCell ref="D80:D81"/>
    <mergeCell ref="F80:F81"/>
    <mergeCell ref="G80:G81"/>
    <mergeCell ref="H80:H81"/>
    <mergeCell ref="I10:I11"/>
    <mergeCell ref="A1:K1"/>
    <mergeCell ref="A2:K2"/>
    <mergeCell ref="A4:K4"/>
    <mergeCell ref="A7:K7"/>
    <mergeCell ref="D9:H9"/>
    <mergeCell ref="I9:J9"/>
    <mergeCell ref="A10:B13"/>
    <mergeCell ref="D10:D11"/>
    <mergeCell ref="F10:F11"/>
    <mergeCell ref="H10:H11"/>
    <mergeCell ref="G10:G11"/>
  </mergeCells>
  <printOptions horizontalCentered="1" verticalCentered="1"/>
  <pageMargins left="0.38" right="0.2362204724409449" top="0.2362204724409449" bottom="0.2362204724409449" header="0.2362204724409449" footer="0.1968503937007874"/>
  <pageSetup fitToHeight="1" fitToWidth="1" horizontalDpi="600" verticalDpi="600" orientation="portrait" paperSize="8" scale="56" r:id="rId1"/>
</worksheet>
</file>

<file path=xl/worksheets/sheet3.xml><?xml version="1.0" encoding="utf-8"?>
<worksheet xmlns="http://schemas.openxmlformats.org/spreadsheetml/2006/main" xmlns:r="http://schemas.openxmlformats.org/officeDocument/2006/relationships">
  <sheetPr>
    <pageSetUpPr fitToPage="1"/>
  </sheetPr>
  <dimension ref="B2:J40"/>
  <sheetViews>
    <sheetView zoomScale="85" zoomScaleNormal="85" zoomScalePageLayoutView="0" workbookViewId="0" topLeftCell="A1">
      <selection activeCell="F34" sqref="F34"/>
    </sheetView>
  </sheetViews>
  <sheetFormatPr defaultColWidth="9.140625" defaultRowHeight="15"/>
  <cols>
    <col min="1" max="1" width="2.00390625" style="218" customWidth="1"/>
    <col min="2" max="2" width="48.00390625" style="218" customWidth="1"/>
    <col min="3" max="3" width="14.57421875" style="218" customWidth="1"/>
    <col min="4" max="4" width="13.57421875" style="218" customWidth="1"/>
    <col min="5" max="5" width="17.8515625" style="218" customWidth="1"/>
    <col min="6" max="6" width="19.00390625" style="218" customWidth="1"/>
    <col min="7" max="7" width="12.421875" style="218" customWidth="1"/>
    <col min="8" max="8" width="14.57421875" style="218" customWidth="1"/>
    <col min="9" max="16384" width="9.140625" style="218" customWidth="1"/>
  </cols>
  <sheetData>
    <row r="2" ht="12.75">
      <c r="H2" s="237" t="s">
        <v>136</v>
      </c>
    </row>
    <row r="3" spans="2:8" ht="14.25">
      <c r="B3" s="395" t="s">
        <v>160</v>
      </c>
      <c r="C3" s="396"/>
      <c r="D3" s="396"/>
      <c r="E3" s="396"/>
      <c r="F3" s="396"/>
      <c r="G3" s="396"/>
      <c r="H3" s="397"/>
    </row>
    <row r="4" spans="2:8" ht="12.75">
      <c r="B4" s="236"/>
      <c r="C4" s="235"/>
      <c r="D4" s="235"/>
      <c r="E4" s="235"/>
      <c r="F4" s="235"/>
      <c r="G4" s="235"/>
      <c r="H4" s="234"/>
    </row>
    <row r="5" spans="2:8" ht="12.75">
      <c r="B5" s="233"/>
      <c r="C5" s="402" t="s">
        <v>116</v>
      </c>
      <c r="D5" s="403"/>
      <c r="E5" s="403"/>
      <c r="F5" s="403"/>
      <c r="G5" s="403"/>
      <c r="H5" s="404"/>
    </row>
    <row r="6" spans="2:8" ht="12.75">
      <c r="B6" s="231" t="s">
        <v>2</v>
      </c>
      <c r="C6" s="398"/>
      <c r="D6" s="399"/>
      <c r="E6" s="232"/>
      <c r="F6" s="232"/>
      <c r="G6" s="398"/>
      <c r="H6" s="399"/>
    </row>
    <row r="7" spans="2:8" ht="36.75" customHeight="1">
      <c r="B7" s="225"/>
      <c r="C7" s="400" t="s">
        <v>159</v>
      </c>
      <c r="D7" s="401"/>
      <c r="E7" s="400" t="s">
        <v>158</v>
      </c>
      <c r="F7" s="401"/>
      <c r="G7" s="405" t="s">
        <v>157</v>
      </c>
      <c r="H7" s="406"/>
    </row>
    <row r="8" spans="2:8" ht="12.75">
      <c r="B8" s="225"/>
      <c r="C8" s="365" t="s">
        <v>156</v>
      </c>
      <c r="D8" s="366"/>
      <c r="E8" s="366"/>
      <c r="F8" s="367"/>
      <c r="G8" s="365" t="s">
        <v>155</v>
      </c>
      <c r="H8" s="404"/>
    </row>
    <row r="9" spans="2:8" ht="12.75">
      <c r="B9" s="231"/>
      <c r="C9" s="230"/>
      <c r="D9" s="230"/>
      <c r="E9" s="230"/>
      <c r="F9" s="230"/>
      <c r="G9" s="230"/>
      <c r="H9" s="230"/>
    </row>
    <row r="10" spans="2:8" ht="12.75">
      <c r="B10" s="223" t="s">
        <v>154</v>
      </c>
      <c r="C10" s="222"/>
      <c r="D10" s="222"/>
      <c r="E10" s="222"/>
      <c r="F10" s="222"/>
      <c r="G10" s="222"/>
      <c r="H10" s="222"/>
    </row>
    <row r="11" spans="2:8" ht="15">
      <c r="B11" s="229" t="s">
        <v>153</v>
      </c>
      <c r="C11" s="224">
        <v>47.51</v>
      </c>
      <c r="D11" s="221"/>
      <c r="E11" s="224">
        <v>23.75</v>
      </c>
      <c r="F11" s="221"/>
      <c r="G11" s="224">
        <v>23.75</v>
      </c>
      <c r="H11" s="221"/>
    </row>
    <row r="12" spans="2:10" ht="15">
      <c r="B12" s="225" t="s">
        <v>152</v>
      </c>
      <c r="C12" s="226">
        <v>912.94</v>
      </c>
      <c r="D12" s="224">
        <f>C11+C12</f>
        <v>960.45</v>
      </c>
      <c r="E12" s="226">
        <v>829.06</v>
      </c>
      <c r="F12" s="224">
        <f>E11+E12</f>
        <v>852.81</v>
      </c>
      <c r="G12" s="226">
        <v>841.55</v>
      </c>
      <c r="H12" s="224">
        <f>SUM(G11:G12)</f>
        <v>865.3</v>
      </c>
      <c r="J12" s="228"/>
    </row>
    <row r="13" spans="2:10" ht="15">
      <c r="B13" s="225"/>
      <c r="C13" s="225"/>
      <c r="D13" s="225"/>
      <c r="E13" s="225"/>
      <c r="F13" s="225"/>
      <c r="G13" s="225"/>
      <c r="H13" s="224"/>
      <c r="J13" s="228"/>
    </row>
    <row r="14" spans="2:8" ht="15">
      <c r="B14" s="223" t="s">
        <v>151</v>
      </c>
      <c r="C14" s="224"/>
      <c r="D14" s="227">
        <v>1011.6</v>
      </c>
      <c r="E14" s="227"/>
      <c r="F14" s="227">
        <v>1156.06</v>
      </c>
      <c r="G14" s="221"/>
      <c r="H14" s="227">
        <v>1003.29</v>
      </c>
    </row>
    <row r="15" spans="2:8" ht="15">
      <c r="B15" s="225"/>
      <c r="C15" s="224"/>
      <c r="D15" s="224"/>
      <c r="E15" s="224"/>
      <c r="F15" s="224"/>
      <c r="G15" s="225"/>
      <c r="H15" s="224"/>
    </row>
    <row r="16" spans="2:8" ht="15">
      <c r="B16" s="223" t="s">
        <v>150</v>
      </c>
      <c r="C16" s="224"/>
      <c r="D16" s="227">
        <v>109.52</v>
      </c>
      <c r="E16" s="227"/>
      <c r="F16" s="227">
        <v>142.15</v>
      </c>
      <c r="G16" s="221"/>
      <c r="H16" s="227">
        <v>114.57</v>
      </c>
    </row>
    <row r="17" spans="2:8" ht="15">
      <c r="B17" s="225"/>
      <c r="C17" s="225"/>
      <c r="D17" s="225"/>
      <c r="E17" s="225"/>
      <c r="F17" s="224"/>
      <c r="G17" s="225"/>
      <c r="H17" s="224"/>
    </row>
    <row r="18" spans="2:8" ht="15">
      <c r="B18" s="223" t="s">
        <v>149</v>
      </c>
      <c r="C18" s="224"/>
      <c r="D18" s="227">
        <v>-0.29</v>
      </c>
      <c r="E18" s="227"/>
      <c r="F18" s="227">
        <v>3.65</v>
      </c>
      <c r="G18" s="221"/>
      <c r="H18" s="227">
        <v>0.08</v>
      </c>
    </row>
    <row r="19" spans="2:8" ht="15">
      <c r="B19" s="225"/>
      <c r="C19" s="225"/>
      <c r="D19" s="225"/>
      <c r="E19" s="225"/>
      <c r="F19" s="224"/>
      <c r="G19" s="225"/>
      <c r="H19" s="224"/>
    </row>
    <row r="20" spans="2:8" ht="12.75">
      <c r="B20" s="223" t="s">
        <v>101</v>
      </c>
      <c r="C20" s="222"/>
      <c r="D20" s="220">
        <f>SUM(D12:D19)</f>
        <v>2081.28</v>
      </c>
      <c r="E20" s="222"/>
      <c r="F20" s="220">
        <f>SUM(F12:F19)</f>
        <v>2154.67</v>
      </c>
      <c r="G20" s="222"/>
      <c r="H20" s="220">
        <f>SUM(H12:H18)</f>
        <v>1983.2399999999998</v>
      </c>
    </row>
    <row r="21" spans="2:8" ht="12.75">
      <c r="B21" s="225"/>
      <c r="C21" s="221"/>
      <c r="D21" s="221"/>
      <c r="E21" s="221"/>
      <c r="F21" s="221"/>
      <c r="G21" s="221"/>
      <c r="H21" s="221"/>
    </row>
    <row r="22" spans="2:8" ht="15">
      <c r="B22" s="223" t="s">
        <v>148</v>
      </c>
      <c r="C22" s="221"/>
      <c r="D22" s="224">
        <f>922.17+42.98</f>
        <v>965.15</v>
      </c>
      <c r="E22" s="221"/>
      <c r="F22" s="224">
        <f>948.85+66.98</f>
        <v>1015.83</v>
      </c>
      <c r="G22" s="221"/>
      <c r="H22" s="224">
        <v>982.78</v>
      </c>
    </row>
    <row r="23" spans="2:8" ht="15">
      <c r="B23" s="225"/>
      <c r="C23" s="225"/>
      <c r="D23" s="225"/>
      <c r="E23" s="225"/>
      <c r="F23" s="225"/>
      <c r="G23" s="225"/>
      <c r="H23" s="224"/>
    </row>
    <row r="24" spans="2:8" ht="15">
      <c r="B24" s="223" t="s">
        <v>147</v>
      </c>
      <c r="C24" s="221"/>
      <c r="D24" s="224">
        <v>881.93</v>
      </c>
      <c r="E24" s="221"/>
      <c r="F24" s="224">
        <v>512.93</v>
      </c>
      <c r="G24" s="221"/>
      <c r="H24" s="224">
        <v>739.26</v>
      </c>
    </row>
    <row r="25" spans="2:8" ht="15">
      <c r="B25" s="225"/>
      <c r="C25" s="225"/>
      <c r="D25" s="225"/>
      <c r="E25" s="225"/>
      <c r="F25" s="225"/>
      <c r="G25" s="225"/>
      <c r="H25" s="224"/>
    </row>
    <row r="26" spans="2:8" ht="15">
      <c r="B26" s="223" t="s">
        <v>146</v>
      </c>
      <c r="C26" s="221"/>
      <c r="D26" s="221"/>
      <c r="E26" s="221"/>
      <c r="F26" s="221"/>
      <c r="G26" s="221"/>
      <c r="H26" s="224"/>
    </row>
    <row r="27" spans="2:8" ht="15">
      <c r="B27" s="225" t="s">
        <v>145</v>
      </c>
      <c r="C27" s="224">
        <v>394.58</v>
      </c>
      <c r="D27" s="224"/>
      <c r="E27" s="224">
        <v>320.16</v>
      </c>
      <c r="F27" s="224"/>
      <c r="G27" s="224">
        <v>289.73</v>
      </c>
      <c r="H27" s="224"/>
    </row>
    <row r="28" spans="2:8" ht="15">
      <c r="B28" s="225" t="s">
        <v>144</v>
      </c>
      <c r="C28" s="224">
        <v>272.11</v>
      </c>
      <c r="D28" s="224"/>
      <c r="E28" s="224">
        <v>212.3</v>
      </c>
      <c r="F28" s="224"/>
      <c r="G28" s="224">
        <v>220.31</v>
      </c>
      <c r="H28" s="224"/>
    </row>
    <row r="29" spans="2:8" ht="15">
      <c r="B29" s="225" t="s">
        <v>143</v>
      </c>
      <c r="C29" s="224">
        <v>123.95</v>
      </c>
      <c r="D29" s="224"/>
      <c r="E29" s="224">
        <v>275.05</v>
      </c>
      <c r="F29" s="224"/>
      <c r="G29" s="224">
        <v>101.01</v>
      </c>
      <c r="H29" s="224"/>
    </row>
    <row r="30" spans="2:8" ht="15">
      <c r="B30" s="225" t="s">
        <v>142</v>
      </c>
      <c r="C30" s="224">
        <v>1.09</v>
      </c>
      <c r="D30" s="224"/>
      <c r="E30" s="224">
        <v>0</v>
      </c>
      <c r="F30" s="224"/>
      <c r="G30" s="224">
        <v>2.17</v>
      </c>
      <c r="H30" s="224"/>
    </row>
    <row r="31" spans="2:8" ht="15">
      <c r="B31" s="225" t="s">
        <v>141</v>
      </c>
      <c r="C31" s="224">
        <v>362.16</v>
      </c>
      <c r="D31" s="224"/>
      <c r="E31" s="224">
        <v>408.62</v>
      </c>
      <c r="F31" s="224"/>
      <c r="G31" s="224">
        <v>351.97</v>
      </c>
      <c r="H31" s="224"/>
    </row>
    <row r="32" spans="2:8" ht="15">
      <c r="B32" s="225" t="s">
        <v>140</v>
      </c>
      <c r="C32" s="221"/>
      <c r="D32" s="221"/>
      <c r="E32" s="221"/>
      <c r="F32" s="224"/>
      <c r="G32" s="224"/>
      <c r="H32" s="224"/>
    </row>
    <row r="33" spans="2:8" ht="15">
      <c r="B33" s="225" t="s">
        <v>139</v>
      </c>
      <c r="C33" s="224">
        <v>876.88</v>
      </c>
      <c r="D33" s="221"/>
      <c r="E33" s="227">
        <v>600.92</v>
      </c>
      <c r="F33" s="221"/>
      <c r="G33" s="224">
        <v>667.21</v>
      </c>
      <c r="H33" s="224"/>
    </row>
    <row r="34" spans="2:8" ht="15">
      <c r="B34" s="225" t="s">
        <v>138</v>
      </c>
      <c r="C34" s="226">
        <v>57.75</v>
      </c>
      <c r="D34" s="224">
        <f>SUM(C27:C31)-SUM(C33:C34)</f>
        <v>219.2600000000001</v>
      </c>
      <c r="E34" s="226">
        <v>46.24</v>
      </c>
      <c r="F34" s="224">
        <f>SUM(E27:E31)-SUM(E33:E34)</f>
        <v>568.9700000000001</v>
      </c>
      <c r="G34" s="226">
        <v>66.87</v>
      </c>
      <c r="H34" s="224">
        <f>SUM(G27:G31)-SUM(G33:G34)</f>
        <v>231.11</v>
      </c>
    </row>
    <row r="35" spans="2:8" ht="15">
      <c r="B35" s="225"/>
      <c r="C35" s="225"/>
      <c r="D35" s="225"/>
      <c r="E35" s="225"/>
      <c r="F35" s="225"/>
      <c r="G35" s="225"/>
      <c r="H35" s="224"/>
    </row>
    <row r="36" spans="2:8" ht="15">
      <c r="B36" s="223" t="s">
        <v>137</v>
      </c>
      <c r="C36" s="221"/>
      <c r="D36" s="224">
        <v>14.94</v>
      </c>
      <c r="E36" s="221"/>
      <c r="F36" s="224">
        <v>56.94</v>
      </c>
      <c r="G36" s="221"/>
      <c r="H36" s="224">
        <v>30.09</v>
      </c>
    </row>
    <row r="37" spans="2:8" ht="15">
      <c r="B37" s="225"/>
      <c r="C37" s="225"/>
      <c r="D37" s="225"/>
      <c r="E37" s="225"/>
      <c r="F37" s="225"/>
      <c r="G37" s="225"/>
      <c r="H37" s="224"/>
    </row>
    <row r="38" spans="2:8" ht="15">
      <c r="B38" s="225"/>
      <c r="C38" s="225"/>
      <c r="D38" s="225"/>
      <c r="E38" s="225"/>
      <c r="F38" s="225"/>
      <c r="G38" s="225"/>
      <c r="H38" s="224"/>
    </row>
    <row r="39" spans="2:8" ht="12.75">
      <c r="B39" s="223" t="s">
        <v>101</v>
      </c>
      <c r="C39" s="221"/>
      <c r="D39" s="220">
        <f>SUM(D22:D38)</f>
        <v>2081.28</v>
      </c>
      <c r="E39" s="222"/>
      <c r="F39" s="220">
        <f>SUM(F22:F38)</f>
        <v>2154.67</v>
      </c>
      <c r="G39" s="221"/>
      <c r="H39" s="220">
        <f>SUM(H22:H38)</f>
        <v>1983.24</v>
      </c>
    </row>
    <row r="40" spans="2:8" ht="12.75">
      <c r="B40" s="219"/>
      <c r="C40" s="219"/>
      <c r="D40" s="219"/>
      <c r="E40" s="219"/>
      <c r="F40" s="219"/>
      <c r="G40" s="219"/>
      <c r="H40" s="219"/>
    </row>
  </sheetData>
  <sheetProtection/>
  <mergeCells count="9">
    <mergeCell ref="C8:F8"/>
    <mergeCell ref="B3:H3"/>
    <mergeCell ref="C6:D6"/>
    <mergeCell ref="C7:D7"/>
    <mergeCell ref="C5:H5"/>
    <mergeCell ref="E7:F7"/>
    <mergeCell ref="G6:H6"/>
    <mergeCell ref="G7:H7"/>
    <mergeCell ref="G8:H8"/>
  </mergeCells>
  <printOptions/>
  <pageMargins left="0.7480314960629921" right="0.7480314960629921" top="0.984251968503937" bottom="0.984251968503937" header="0.5118110236220472" footer="0.5118110236220472"/>
  <pageSetup fitToHeight="1" fitToWidth="1" horizontalDpi="600" verticalDpi="600" orientation="landscape" paperSize="8" r:id="rId1"/>
</worksheet>
</file>

<file path=xl/worksheets/sheet4.xml><?xml version="1.0" encoding="utf-8"?>
<worksheet xmlns="http://schemas.openxmlformats.org/spreadsheetml/2006/main" xmlns:r="http://schemas.openxmlformats.org/officeDocument/2006/relationships">
  <sheetPr>
    <pageSetUpPr fitToPage="1"/>
  </sheetPr>
  <dimension ref="A1:T135"/>
  <sheetViews>
    <sheetView tabSelected="1" view="pageBreakPreview" zoomScale="90" zoomScaleNormal="75" zoomScaleSheetLayoutView="90" workbookViewId="0" topLeftCell="A101">
      <selection activeCell="B121" sqref="B121"/>
    </sheetView>
  </sheetViews>
  <sheetFormatPr defaultColWidth="11.421875" defaultRowHeight="18" customHeight="1"/>
  <cols>
    <col min="1" max="1" width="5.140625" style="5" customWidth="1"/>
    <col min="2" max="2" width="68.7109375" style="5" customWidth="1"/>
    <col min="3" max="3" width="15.7109375" style="5" customWidth="1"/>
    <col min="4" max="4" width="16.421875" style="110" hidden="1" customWidth="1"/>
    <col min="5" max="5" width="1.8515625" style="110" hidden="1" customWidth="1"/>
    <col min="6" max="6" width="14.7109375" style="5" customWidth="1"/>
    <col min="7" max="7" width="16.8515625" style="5" customWidth="1"/>
    <col min="8" max="8" width="15.140625" style="5" customWidth="1"/>
    <col min="9" max="9" width="18.7109375" style="5" customWidth="1"/>
    <col min="10" max="10" width="18.421875" style="5" customWidth="1"/>
    <col min="11" max="11" width="5.57421875" style="4" customWidth="1"/>
    <col min="12" max="12" width="11.8515625" style="4" bestFit="1" customWidth="1"/>
    <col min="13" max="13" width="11.28125" style="4" customWidth="1"/>
    <col min="14" max="14" width="10.7109375" style="4" bestFit="1" customWidth="1"/>
    <col min="15" max="15" width="16.140625" style="5" customWidth="1"/>
    <col min="16" max="16" width="14.421875" style="5" customWidth="1"/>
    <col min="17" max="17" width="1.7109375" style="4" customWidth="1"/>
    <col min="18" max="16384" width="11.421875" style="5" customWidth="1"/>
  </cols>
  <sheetData>
    <row r="1" spans="1:17" ht="15.75" customHeight="1">
      <c r="A1" s="418" t="s">
        <v>0</v>
      </c>
      <c r="B1" s="419"/>
      <c r="C1" s="420"/>
      <c r="D1" s="420"/>
      <c r="E1" s="420"/>
      <c r="F1" s="420"/>
      <c r="G1" s="420"/>
      <c r="H1" s="420"/>
      <c r="I1" s="420"/>
      <c r="J1" s="421"/>
      <c r="K1" s="343"/>
      <c r="L1" s="7"/>
      <c r="M1" s="7"/>
      <c r="N1" s="7"/>
      <c r="O1" s="4"/>
      <c r="Q1" s="5"/>
    </row>
    <row r="2" spans="1:17" ht="13.5" customHeight="1">
      <c r="A2" s="423" t="s">
        <v>1</v>
      </c>
      <c r="B2" s="389"/>
      <c r="C2" s="389"/>
      <c r="D2" s="389"/>
      <c r="E2" s="389"/>
      <c r="F2" s="389"/>
      <c r="G2" s="389"/>
      <c r="H2" s="389"/>
      <c r="I2" s="389"/>
      <c r="J2" s="411"/>
      <c r="K2" s="344"/>
      <c r="L2" s="7"/>
      <c r="M2" s="7"/>
      <c r="N2" s="7"/>
      <c r="O2" s="4"/>
      <c r="Q2" s="5"/>
    </row>
    <row r="3" spans="1:17" ht="1.5" customHeight="1">
      <c r="A3" s="285"/>
      <c r="B3" s="7"/>
      <c r="C3" s="7"/>
      <c r="D3" s="9"/>
      <c r="E3" s="9"/>
      <c r="F3" s="7"/>
      <c r="G3" s="7"/>
      <c r="H3" s="7"/>
      <c r="I3" s="7"/>
      <c r="J3" s="346"/>
      <c r="K3" s="344"/>
      <c r="L3" s="7"/>
      <c r="M3" s="7"/>
      <c r="N3" s="7"/>
      <c r="O3" s="4"/>
      <c r="Q3" s="5"/>
    </row>
    <row r="4" spans="1:17" ht="14.25">
      <c r="A4" s="423" t="s">
        <v>130</v>
      </c>
      <c r="B4" s="389"/>
      <c r="C4" s="389"/>
      <c r="D4" s="389"/>
      <c r="E4" s="389"/>
      <c r="F4" s="389"/>
      <c r="G4" s="389"/>
      <c r="H4" s="389"/>
      <c r="I4" s="389"/>
      <c r="J4" s="411"/>
      <c r="K4" s="345"/>
      <c r="L4" s="7"/>
      <c r="M4" s="7"/>
      <c r="N4" s="7"/>
      <c r="O4" s="11"/>
      <c r="P4" s="11"/>
      <c r="Q4" s="11"/>
    </row>
    <row r="5" spans="1:17" ht="14.25" customHeight="1" thickBot="1">
      <c r="A5" s="347"/>
      <c r="B5" s="13"/>
      <c r="C5" s="17"/>
      <c r="D5" s="18"/>
      <c r="E5" s="18"/>
      <c r="F5" s="17"/>
      <c r="G5" s="17"/>
      <c r="H5" s="17"/>
      <c r="I5" s="17"/>
      <c r="J5" s="306" t="s">
        <v>134</v>
      </c>
      <c r="K5" s="259"/>
      <c r="L5" s="17"/>
      <c r="M5" s="17"/>
      <c r="N5" s="17"/>
      <c r="O5" s="11"/>
      <c r="P5" s="11"/>
      <c r="Q5" s="11"/>
    </row>
    <row r="6" spans="1:17" ht="14.25">
      <c r="A6" s="426" t="s">
        <v>2</v>
      </c>
      <c r="B6" s="427"/>
      <c r="C6" s="428"/>
      <c r="D6" s="269"/>
      <c r="E6" s="269"/>
      <c r="F6" s="422" t="s">
        <v>78</v>
      </c>
      <c r="G6" s="422" t="s">
        <v>90</v>
      </c>
      <c r="H6" s="422" t="s">
        <v>133</v>
      </c>
      <c r="I6" s="422" t="s">
        <v>210</v>
      </c>
      <c r="J6" s="424" t="s">
        <v>135</v>
      </c>
      <c r="K6" s="259"/>
      <c r="L6" s="17"/>
      <c r="M6" s="17"/>
      <c r="N6" s="17"/>
      <c r="O6" s="11"/>
      <c r="P6" s="11"/>
      <c r="Q6" s="11"/>
    </row>
    <row r="7" spans="1:17" ht="34.5" customHeight="1">
      <c r="A7" s="429"/>
      <c r="B7" s="430"/>
      <c r="C7" s="373"/>
      <c r="D7" s="24" t="s">
        <v>93</v>
      </c>
      <c r="E7" s="24" t="s">
        <v>94</v>
      </c>
      <c r="F7" s="372"/>
      <c r="G7" s="372"/>
      <c r="H7" s="372"/>
      <c r="I7" s="372"/>
      <c r="J7" s="425"/>
      <c r="K7" s="259"/>
      <c r="L7" s="17"/>
      <c r="M7" s="17"/>
      <c r="N7" s="17"/>
      <c r="O7" s="11"/>
      <c r="P7" s="11"/>
      <c r="Q7" s="11"/>
    </row>
    <row r="8" spans="1:17" ht="5.25" customHeight="1" hidden="1">
      <c r="A8" s="429"/>
      <c r="B8" s="430"/>
      <c r="C8" s="373"/>
      <c r="D8" s="26"/>
      <c r="E8" s="26"/>
      <c r="F8" s="19"/>
      <c r="G8" s="28"/>
      <c r="H8" s="28"/>
      <c r="I8" s="28"/>
      <c r="J8" s="271"/>
      <c r="K8" s="259"/>
      <c r="L8" s="17"/>
      <c r="M8" s="17"/>
      <c r="N8" s="17"/>
      <c r="O8" s="11"/>
      <c r="P8" s="11"/>
      <c r="Q8" s="11"/>
    </row>
    <row r="9" spans="1:17" ht="15" customHeight="1">
      <c r="A9" s="429"/>
      <c r="B9" s="430"/>
      <c r="C9" s="373"/>
      <c r="D9" s="26"/>
      <c r="E9" s="26"/>
      <c r="F9" s="19" t="s">
        <v>131</v>
      </c>
      <c r="G9" s="19" t="s">
        <v>132</v>
      </c>
      <c r="H9" s="19" t="s">
        <v>131</v>
      </c>
      <c r="I9" s="19" t="s">
        <v>132</v>
      </c>
      <c r="J9" s="271" t="s">
        <v>75</v>
      </c>
      <c r="K9" s="259"/>
      <c r="L9" s="17"/>
      <c r="M9" s="17"/>
      <c r="N9" s="17"/>
      <c r="O9" s="11"/>
      <c r="P9" s="11"/>
      <c r="Q9" s="11"/>
    </row>
    <row r="10" spans="1:17" ht="15" customHeight="1">
      <c r="A10" s="270"/>
      <c r="B10" s="250"/>
      <c r="C10" s="23"/>
      <c r="D10" s="24"/>
      <c r="E10" s="24"/>
      <c r="F10" s="369" t="s">
        <v>77</v>
      </c>
      <c r="G10" s="371"/>
      <c r="H10" s="371"/>
      <c r="I10" s="370"/>
      <c r="J10" s="272" t="s">
        <v>4</v>
      </c>
      <c r="K10" s="259"/>
      <c r="L10" s="17"/>
      <c r="M10" s="17"/>
      <c r="N10" s="17"/>
      <c r="O10" s="11"/>
      <c r="P10" s="11"/>
      <c r="Q10" s="11"/>
    </row>
    <row r="11" spans="1:17" ht="15" customHeight="1">
      <c r="A11" s="273"/>
      <c r="B11" s="251"/>
      <c r="C11" s="32"/>
      <c r="D11" s="33"/>
      <c r="E11" s="33"/>
      <c r="F11" s="32" t="s">
        <v>5</v>
      </c>
      <c r="G11" s="209" t="s">
        <v>6</v>
      </c>
      <c r="H11" s="209" t="s">
        <v>7</v>
      </c>
      <c r="I11" s="32" t="s">
        <v>8</v>
      </c>
      <c r="J11" s="274" t="s">
        <v>120</v>
      </c>
      <c r="K11" s="260"/>
      <c r="L11" s="118"/>
      <c r="M11" s="118"/>
      <c r="N11" s="118"/>
      <c r="O11" s="4"/>
      <c r="Q11" s="5"/>
    </row>
    <row r="12" spans="1:17" ht="15" customHeight="1">
      <c r="A12" s="275" t="s">
        <v>9</v>
      </c>
      <c r="B12" s="416" t="s">
        <v>10</v>
      </c>
      <c r="C12" s="417"/>
      <c r="D12" s="198">
        <f>136956.8502291/100</f>
        <v>1369.568502291</v>
      </c>
      <c r="E12" s="198">
        <f>97562.51/100</f>
        <v>975.6251</v>
      </c>
      <c r="F12" s="40">
        <f>H12-D12</f>
        <v>1589.8314977090001</v>
      </c>
      <c r="G12" s="40">
        <f>I12-E12</f>
        <v>1115.4084</v>
      </c>
      <c r="H12" s="197">
        <v>2959.4</v>
      </c>
      <c r="I12" s="197">
        <f>209103.35/100</f>
        <v>2091.0335</v>
      </c>
      <c r="J12" s="276">
        <f>436310.5308699/100</f>
        <v>4363.1053086990005</v>
      </c>
      <c r="K12" s="261"/>
      <c r="L12" s="119"/>
      <c r="M12" s="119"/>
      <c r="N12" s="119"/>
      <c r="O12" s="4"/>
      <c r="Q12" s="5"/>
    </row>
    <row r="13" spans="1:17" ht="15" customHeight="1">
      <c r="A13" s="277" t="s">
        <v>11</v>
      </c>
      <c r="B13" s="407" t="s">
        <v>12</v>
      </c>
      <c r="C13" s="408"/>
      <c r="D13" s="199">
        <f>2339.2830586/100</f>
        <v>23.392830586</v>
      </c>
      <c r="E13" s="199">
        <f>1307.21/100</f>
        <v>13.0721</v>
      </c>
      <c r="F13" s="49">
        <f>H13-D13</f>
        <v>26.407169414</v>
      </c>
      <c r="G13" s="49">
        <f>I13-E13</f>
        <v>14.4581</v>
      </c>
      <c r="H13" s="51">
        <v>49.8</v>
      </c>
      <c r="I13" s="51">
        <f>2753.02/100</f>
        <v>27.5302</v>
      </c>
      <c r="J13" s="278">
        <f>6702.8553835/100</f>
        <v>67.028553835</v>
      </c>
      <c r="K13" s="261"/>
      <c r="L13" s="119"/>
      <c r="M13" s="119"/>
      <c r="N13" s="119"/>
      <c r="O13" s="4"/>
      <c r="Q13" s="5"/>
    </row>
    <row r="14" spans="1:17" ht="15" customHeight="1">
      <c r="A14" s="279"/>
      <c r="B14" s="409" t="s">
        <v>13</v>
      </c>
      <c r="C14" s="410"/>
      <c r="D14" s="200">
        <f aca="true" t="shared" si="0" ref="D14:I14">SUM(D12:D13)</f>
        <v>1392.961332877</v>
      </c>
      <c r="E14" s="200">
        <f t="shared" si="0"/>
        <v>988.6972</v>
      </c>
      <c r="F14" s="359">
        <f t="shared" si="0"/>
        <v>1616.2386671230001</v>
      </c>
      <c r="G14" s="359">
        <f t="shared" si="0"/>
        <v>1129.8665</v>
      </c>
      <c r="H14" s="359">
        <f t="shared" si="0"/>
        <v>3009.2000000000003</v>
      </c>
      <c r="I14" s="359">
        <f t="shared" si="0"/>
        <v>2118.5637</v>
      </c>
      <c r="J14" s="360">
        <f>SUM(J12:J13)+0.01</f>
        <v>4430.143862534001</v>
      </c>
      <c r="K14" s="261"/>
      <c r="L14" s="119"/>
      <c r="M14" s="119"/>
      <c r="N14" s="119"/>
      <c r="O14" s="4"/>
      <c r="Q14" s="5"/>
    </row>
    <row r="15" spans="1:17" ht="15" customHeight="1">
      <c r="A15" s="280" t="s">
        <v>14</v>
      </c>
      <c r="B15" s="407" t="s">
        <v>15</v>
      </c>
      <c r="C15" s="408"/>
      <c r="D15" s="60"/>
      <c r="E15" s="60"/>
      <c r="F15" s="61"/>
      <c r="G15" s="61"/>
      <c r="H15" s="61"/>
      <c r="I15" s="61"/>
      <c r="J15" s="281"/>
      <c r="K15" s="261"/>
      <c r="L15" s="119"/>
      <c r="M15" s="119"/>
      <c r="N15" s="119"/>
      <c r="O15" s="4"/>
      <c r="Q15" s="5"/>
    </row>
    <row r="16" spans="1:17" ht="15" customHeight="1">
      <c r="A16" s="277"/>
      <c r="B16" s="407" t="s">
        <v>162</v>
      </c>
      <c r="C16" s="408"/>
      <c r="D16" s="65">
        <f>-2031.6617596605/100</f>
        <v>-20.316617596605</v>
      </c>
      <c r="E16" s="65">
        <f>3111.35/100</f>
        <v>31.1135</v>
      </c>
      <c r="F16" s="66">
        <f>H16-D16</f>
        <v>-44.733382403395</v>
      </c>
      <c r="G16" s="66">
        <f>I16-E16</f>
        <v>-21.3707</v>
      </c>
      <c r="H16" s="208">
        <v>-65.05</v>
      </c>
      <c r="I16" s="68">
        <f>974.28/100</f>
        <v>9.742799999999999</v>
      </c>
      <c r="J16" s="282">
        <f>194.610000000001/100</f>
        <v>1.9461000000000102</v>
      </c>
      <c r="K16" s="261"/>
      <c r="L16" s="119"/>
      <c r="M16" s="119"/>
      <c r="N16" s="119"/>
      <c r="O16" s="4"/>
      <c r="Q16" s="5"/>
    </row>
    <row r="17" spans="1:17" ht="15" customHeight="1" hidden="1">
      <c r="A17" s="277"/>
      <c r="B17" s="47"/>
      <c r="C17" s="47"/>
      <c r="D17" s="65"/>
      <c r="E17" s="65"/>
      <c r="F17" s="66"/>
      <c r="G17" s="66"/>
      <c r="H17" s="61"/>
      <c r="I17" s="61"/>
      <c r="J17" s="281"/>
      <c r="K17" s="261"/>
      <c r="L17" s="119"/>
      <c r="M17" s="119"/>
      <c r="N17" s="119"/>
      <c r="O17" s="4"/>
      <c r="Q17" s="5"/>
    </row>
    <row r="18" spans="1:17" ht="15" customHeight="1">
      <c r="A18" s="277"/>
      <c r="B18" s="407" t="s">
        <v>80</v>
      </c>
      <c r="C18" s="408"/>
      <c r="D18" s="65">
        <f>101553.13649826/100</f>
        <v>1015.5313649826</v>
      </c>
      <c r="E18" s="65">
        <f>66305.49/100</f>
        <v>663.0549000000001</v>
      </c>
      <c r="F18" s="66">
        <f aca="true" t="shared" si="1" ref="F18:G20">H18-D18</f>
        <v>1187.5786350174</v>
      </c>
      <c r="G18" s="66">
        <f t="shared" si="1"/>
        <v>801.0138</v>
      </c>
      <c r="H18" s="68">
        <v>2203.11</v>
      </c>
      <c r="I18" s="68">
        <f>146406.87/100</f>
        <v>1464.0687</v>
      </c>
      <c r="J18" s="283">
        <f>301879.1986261/100</f>
        <v>3018.791986261</v>
      </c>
      <c r="K18" s="261"/>
      <c r="L18" s="119"/>
      <c r="M18" s="119"/>
      <c r="N18" s="119"/>
      <c r="O18" s="72"/>
      <c r="P18" s="69"/>
      <c r="Q18" s="5"/>
    </row>
    <row r="19" spans="1:17" ht="15" customHeight="1">
      <c r="A19" s="284"/>
      <c r="B19" s="407" t="s">
        <v>18</v>
      </c>
      <c r="C19" s="408"/>
      <c r="D19" s="65">
        <f>1862.7541733/100</f>
        <v>18.627541733</v>
      </c>
      <c r="E19" s="65">
        <f>1601.73/100</f>
        <v>16.0173</v>
      </c>
      <c r="F19" s="66">
        <f t="shared" si="1"/>
        <v>28.722458267</v>
      </c>
      <c r="G19" s="66">
        <f t="shared" si="1"/>
        <v>20.916200000000003</v>
      </c>
      <c r="H19" s="68">
        <v>47.35</v>
      </c>
      <c r="I19" s="68">
        <f>3693.35/100</f>
        <v>36.9335</v>
      </c>
      <c r="J19" s="283">
        <f>8149.06/100</f>
        <v>81.4906</v>
      </c>
      <c r="K19" s="261"/>
      <c r="L19" s="119"/>
      <c r="M19" s="119"/>
      <c r="N19" s="119"/>
      <c r="O19" s="72"/>
      <c r="Q19" s="5"/>
    </row>
    <row r="20" spans="1:17" ht="15" customHeight="1">
      <c r="A20" s="284"/>
      <c r="B20" s="407" t="s">
        <v>19</v>
      </c>
      <c r="C20" s="408"/>
      <c r="D20" s="65">
        <f>7290.9967589/100</f>
        <v>72.909967589</v>
      </c>
      <c r="E20" s="65">
        <f>5233/100</f>
        <v>52.33</v>
      </c>
      <c r="F20" s="66">
        <f t="shared" si="1"/>
        <v>84.73003241099998</v>
      </c>
      <c r="G20" s="66">
        <f t="shared" si="1"/>
        <v>58.5381</v>
      </c>
      <c r="H20" s="68">
        <v>157.64</v>
      </c>
      <c r="I20" s="68">
        <f>11086.81/100</f>
        <v>110.8681</v>
      </c>
      <c r="J20" s="283">
        <f>25125.5076065/100</f>
        <v>251.255076065</v>
      </c>
      <c r="K20" s="261"/>
      <c r="L20" s="119"/>
      <c r="M20" s="119"/>
      <c r="N20" s="119"/>
      <c r="O20" s="72"/>
      <c r="P20" s="69"/>
      <c r="Q20" s="71"/>
    </row>
    <row r="21" spans="1:17" ht="15" customHeight="1">
      <c r="A21" s="284"/>
      <c r="B21" s="407" t="s">
        <v>20</v>
      </c>
      <c r="C21" s="408"/>
      <c r="D21" s="65">
        <f>2659.1495004/100</f>
        <v>26.591495004</v>
      </c>
      <c r="E21" s="65">
        <f>2541.87/100</f>
        <v>25.418699999999998</v>
      </c>
      <c r="F21" s="66">
        <f>H21-D21+0.01</f>
        <v>27.984588779999996</v>
      </c>
      <c r="G21" s="66">
        <f>I21-E21</f>
        <v>25.299700000000005</v>
      </c>
      <c r="H21" s="68">
        <v>54.56608378399999</v>
      </c>
      <c r="I21" s="68">
        <f>5071.84/100</f>
        <v>50.7184</v>
      </c>
      <c r="J21" s="276">
        <f>10252.2432513/100</f>
        <v>102.522432513</v>
      </c>
      <c r="K21" s="261"/>
      <c r="L21" s="119"/>
      <c r="M21" s="119"/>
      <c r="N21" s="119"/>
      <c r="O21" s="72"/>
      <c r="P21" s="71"/>
      <c r="Q21" s="71"/>
    </row>
    <row r="22" spans="1:17" ht="15" customHeight="1">
      <c r="A22" s="284"/>
      <c r="B22" s="407" t="s">
        <v>81</v>
      </c>
      <c r="C22" s="408"/>
      <c r="D22" s="65">
        <f>1391.77/100</f>
        <v>13.9177</v>
      </c>
      <c r="E22" s="65">
        <f>1500.96/100</f>
        <v>15.0096</v>
      </c>
      <c r="F22" s="66">
        <f>H22-D22</f>
        <v>15.3123</v>
      </c>
      <c r="G22" s="66">
        <f>I22-E22</f>
        <v>15.737899999999998</v>
      </c>
      <c r="H22" s="68">
        <f>14.35+14.88</f>
        <v>29.23</v>
      </c>
      <c r="I22" s="68">
        <f>3074.75/100</f>
        <v>30.7475</v>
      </c>
      <c r="J22" s="276">
        <f>6175.04/100</f>
        <v>61.7504</v>
      </c>
      <c r="K22" s="261"/>
      <c r="L22" s="119"/>
      <c r="M22" s="119"/>
      <c r="N22" s="119"/>
      <c r="O22" s="72"/>
      <c r="P22" s="71"/>
      <c r="Q22" s="71"/>
    </row>
    <row r="23" spans="1:17" ht="15" customHeight="1">
      <c r="A23" s="284"/>
      <c r="B23" s="407" t="s">
        <v>82</v>
      </c>
      <c r="C23" s="408"/>
      <c r="D23" s="65">
        <f>20253.8035022/100</f>
        <v>202.538035022</v>
      </c>
      <c r="E23" s="65">
        <f>14856.26/100</f>
        <v>148.5626</v>
      </c>
      <c r="F23" s="66">
        <f>H23-D23</f>
        <v>237.141964978</v>
      </c>
      <c r="G23" s="66">
        <f>I23-E23</f>
        <v>192.74750000000003</v>
      </c>
      <c r="H23" s="68">
        <v>439.68</v>
      </c>
      <c r="I23" s="68">
        <f>34131.01/100</f>
        <v>341.31010000000003</v>
      </c>
      <c r="J23" s="276">
        <f>72678.5904691/100</f>
        <v>726.785904691</v>
      </c>
      <c r="K23" s="261"/>
      <c r="L23" s="72"/>
      <c r="M23" s="119"/>
      <c r="N23" s="69"/>
      <c r="P23" s="69"/>
      <c r="Q23" s="69"/>
    </row>
    <row r="24" spans="1:17" ht="15" customHeight="1">
      <c r="A24" s="285"/>
      <c r="B24" s="407" t="s">
        <v>92</v>
      </c>
      <c r="C24" s="408"/>
      <c r="D24" s="73">
        <f>SUM(D16:D23)</f>
        <v>1329.799486733995</v>
      </c>
      <c r="E24" s="73">
        <f>SUM(E16:E23)</f>
        <v>951.5066</v>
      </c>
      <c r="F24" s="74">
        <f>SUM(F16:F23)-0.01</f>
        <v>1536.7265970500052</v>
      </c>
      <c r="G24" s="74">
        <f>SUM(G16:G23)+0.01</f>
        <v>1092.8925</v>
      </c>
      <c r="H24" s="74">
        <f>SUM(H16:H23)</f>
        <v>2866.5260837839996</v>
      </c>
      <c r="I24" s="74">
        <f>SUM(I16:I23)</f>
        <v>2044.3890999999999</v>
      </c>
      <c r="J24" s="286">
        <f>SUM(J16:J23)+0.01</f>
        <v>4244.55249953</v>
      </c>
      <c r="K24" s="261"/>
      <c r="L24" s="123"/>
      <c r="M24" s="119"/>
      <c r="N24" s="119"/>
      <c r="O24" s="72"/>
      <c r="P24" s="69"/>
      <c r="Q24" s="5"/>
    </row>
    <row r="25" spans="1:17" ht="15" customHeight="1" hidden="1">
      <c r="A25" s="277"/>
      <c r="B25" s="47"/>
      <c r="C25" s="47"/>
      <c r="D25" s="65"/>
      <c r="E25" s="65"/>
      <c r="F25" s="66"/>
      <c r="G25" s="61"/>
      <c r="H25" s="61"/>
      <c r="I25" s="61"/>
      <c r="J25" s="276"/>
      <c r="K25" s="262"/>
      <c r="L25" s="120"/>
      <c r="M25" s="120"/>
      <c r="N25" s="120"/>
      <c r="O25" s="72"/>
      <c r="Q25" s="5"/>
    </row>
    <row r="26" spans="1:17" ht="15" customHeight="1">
      <c r="A26" s="277" t="s">
        <v>21</v>
      </c>
      <c r="B26" s="407" t="s">
        <v>166</v>
      </c>
      <c r="C26" s="408"/>
      <c r="D26" s="2">
        <f>D14-D24</f>
        <v>63.16184614300482</v>
      </c>
      <c r="E26" s="2">
        <f>E14-E24</f>
        <v>37.190599999999904</v>
      </c>
      <c r="F26" s="2">
        <f>F14-F24</f>
        <v>79.5120700729949</v>
      </c>
      <c r="G26" s="2">
        <f>G14-G24+0.01</f>
        <v>36.98400000000016</v>
      </c>
      <c r="H26" s="2">
        <f>H14-H24</f>
        <v>142.67391621600063</v>
      </c>
      <c r="I26" s="2">
        <f>I14-I24</f>
        <v>74.17460000000028</v>
      </c>
      <c r="J26" s="287">
        <f>J14-J24</f>
        <v>185.5913630040004</v>
      </c>
      <c r="K26" s="262"/>
      <c r="L26" s="75"/>
      <c r="M26" s="119"/>
      <c r="N26" s="119"/>
      <c r="O26" s="119"/>
      <c r="P26" s="69"/>
      <c r="Q26" s="5"/>
    </row>
    <row r="27" spans="1:17" ht="15" customHeight="1">
      <c r="A27" s="277" t="s">
        <v>24</v>
      </c>
      <c r="B27" s="407" t="s">
        <v>25</v>
      </c>
      <c r="C27" s="408"/>
      <c r="D27" s="66">
        <f>411.1071159/100</f>
        <v>4.111071159</v>
      </c>
      <c r="E27" s="66">
        <f>31.05/100</f>
        <v>0.3105</v>
      </c>
      <c r="F27" s="66">
        <f>H27-D27</f>
        <v>2.5775491299999995</v>
      </c>
      <c r="G27" s="66">
        <f>I27-E27</f>
        <v>2.8295000000000003</v>
      </c>
      <c r="H27" s="68">
        <v>6.688620288999999</v>
      </c>
      <c r="I27" s="68">
        <f>314/100</f>
        <v>3.14</v>
      </c>
      <c r="J27" s="276">
        <f>39.2402636000002/100</f>
        <v>0.39240263600000197</v>
      </c>
      <c r="K27" s="262"/>
      <c r="L27" s="120"/>
      <c r="M27" s="120"/>
      <c r="N27" s="120"/>
      <c r="O27" s="4"/>
      <c r="Q27" s="5"/>
    </row>
    <row r="28" spans="1:17" ht="15" customHeight="1">
      <c r="A28" s="277"/>
      <c r="B28" s="407" t="s">
        <v>26</v>
      </c>
      <c r="C28" s="408"/>
      <c r="D28" s="66">
        <f>14.48/100</f>
        <v>0.1448</v>
      </c>
      <c r="E28" s="66">
        <f>-34.04/100</f>
        <v>-0.3404</v>
      </c>
      <c r="F28" s="66">
        <f>H28-D28</f>
        <v>-0.09480000000000001</v>
      </c>
      <c r="G28" s="66">
        <f>I28-E28</f>
        <v>-0.3404</v>
      </c>
      <c r="H28" s="66">
        <v>0.05</v>
      </c>
      <c r="I28" s="66">
        <f>-68.08/100</f>
        <v>-0.6808</v>
      </c>
      <c r="J28" s="276">
        <f>8.2938738/100</f>
        <v>0.082938738</v>
      </c>
      <c r="K28" s="262"/>
      <c r="L28" s="120"/>
      <c r="M28" s="120"/>
      <c r="N28" s="120"/>
      <c r="O28" s="4"/>
      <c r="Q28" s="5"/>
    </row>
    <row r="29" spans="1:17" ht="15" customHeight="1">
      <c r="A29" s="277" t="s">
        <v>27</v>
      </c>
      <c r="B29" s="409" t="s">
        <v>28</v>
      </c>
      <c r="C29" s="410"/>
      <c r="D29" s="2">
        <f>SUM(D26:D28)-0.01</f>
        <v>67.40771730200483</v>
      </c>
      <c r="E29" s="2">
        <f>SUM(E26:E28)</f>
        <v>37.1606999999999</v>
      </c>
      <c r="F29" s="361">
        <f>SUM(F26:F28)+0.01</f>
        <v>82.0048192029949</v>
      </c>
      <c r="G29" s="361">
        <f>SUM(G26:G28)</f>
        <v>39.47310000000016</v>
      </c>
      <c r="H29" s="361">
        <f>SUM(H26:H28)</f>
        <v>149.41253650500065</v>
      </c>
      <c r="I29" s="361">
        <f>SUM(I26:I28)</f>
        <v>76.63380000000028</v>
      </c>
      <c r="J29" s="362">
        <f>SUM(J26:J28)-0.01</f>
        <v>186.05670437800043</v>
      </c>
      <c r="K29" s="262"/>
      <c r="L29" s="120"/>
      <c r="M29" s="120"/>
      <c r="N29" s="120"/>
      <c r="O29" s="4"/>
      <c r="P29" s="69"/>
      <c r="Q29" s="5"/>
    </row>
    <row r="30" spans="1:17" ht="15" customHeight="1">
      <c r="A30" s="277" t="s">
        <v>29</v>
      </c>
      <c r="B30" s="407" t="s">
        <v>30</v>
      </c>
      <c r="C30" s="408"/>
      <c r="D30" s="65">
        <f>1695.0022323/100</f>
        <v>16.950022323</v>
      </c>
      <c r="E30" s="65">
        <f>1712.08/100</f>
        <v>17.1208</v>
      </c>
      <c r="F30" s="66">
        <f>H30-D30</f>
        <v>14.231771230999996</v>
      </c>
      <c r="G30" s="66">
        <f>I30-E30</f>
        <v>15.3306</v>
      </c>
      <c r="H30" s="68">
        <v>31.181793553999995</v>
      </c>
      <c r="I30" s="68">
        <f>3245.14/100</f>
        <v>32.4514</v>
      </c>
      <c r="J30" s="276">
        <f>6316.7089122/100</f>
        <v>63.167089122</v>
      </c>
      <c r="K30" s="262"/>
      <c r="L30" s="120"/>
      <c r="M30" s="120"/>
      <c r="N30" s="120"/>
      <c r="O30" s="4"/>
      <c r="Q30" s="5"/>
    </row>
    <row r="31" spans="1:17" ht="15" customHeight="1">
      <c r="A31" s="277" t="s">
        <v>31</v>
      </c>
      <c r="B31" s="407" t="s">
        <v>163</v>
      </c>
      <c r="C31" s="408"/>
      <c r="D31" s="64">
        <f aca="true" t="shared" si="2" ref="D31:J31">D29-D30</f>
        <v>50.45769497900483</v>
      </c>
      <c r="E31" s="64">
        <f t="shared" si="2"/>
        <v>20.0398999999999</v>
      </c>
      <c r="F31" s="64">
        <f t="shared" si="2"/>
        <v>67.7730479719949</v>
      </c>
      <c r="G31" s="64">
        <f t="shared" si="2"/>
        <v>24.142500000000158</v>
      </c>
      <c r="H31" s="64">
        <f t="shared" si="2"/>
        <v>118.23074295100065</v>
      </c>
      <c r="I31" s="64">
        <f t="shared" si="2"/>
        <v>44.18240000000028</v>
      </c>
      <c r="J31" s="288">
        <f t="shared" si="2"/>
        <v>122.88961525600044</v>
      </c>
      <c r="K31" s="261"/>
      <c r="L31" s="119"/>
      <c r="M31" s="119"/>
      <c r="N31" s="119"/>
      <c r="O31" s="4"/>
      <c r="P31" s="69"/>
      <c r="Q31" s="5"/>
    </row>
    <row r="32" spans="1:17" ht="15" customHeight="1" hidden="1">
      <c r="A32" s="277"/>
      <c r="B32" s="47"/>
      <c r="C32" s="47"/>
      <c r="D32" s="65"/>
      <c r="E32" s="65"/>
      <c r="F32" s="66"/>
      <c r="G32" s="61"/>
      <c r="H32" s="61"/>
      <c r="I32" s="61"/>
      <c r="J32" s="276"/>
      <c r="K32" s="261"/>
      <c r="L32" s="119"/>
      <c r="M32" s="119"/>
      <c r="N32" s="119"/>
      <c r="O32" s="4"/>
      <c r="Q32" s="5"/>
    </row>
    <row r="33" spans="1:17" ht="15" customHeight="1">
      <c r="A33" s="277" t="s">
        <v>34</v>
      </c>
      <c r="B33" s="407" t="s">
        <v>35</v>
      </c>
      <c r="C33" s="408"/>
      <c r="D33" s="65">
        <v>0</v>
      </c>
      <c r="E33" s="65"/>
      <c r="F33" s="66">
        <v>0</v>
      </c>
      <c r="G33" s="1">
        <v>0</v>
      </c>
      <c r="H33" s="2">
        <v>0</v>
      </c>
      <c r="I33" s="1">
        <v>0</v>
      </c>
      <c r="J33" s="289">
        <f>-4671.89/100</f>
        <v>-46.718900000000005</v>
      </c>
      <c r="K33" s="261"/>
      <c r="L33" s="119"/>
      <c r="M33" s="119"/>
      <c r="N33" s="119"/>
      <c r="O33" s="4"/>
      <c r="P33" s="69"/>
      <c r="Q33" s="5"/>
    </row>
    <row r="34" spans="1:17" ht="15" customHeight="1">
      <c r="A34" s="277" t="s">
        <v>36</v>
      </c>
      <c r="B34" s="409" t="s">
        <v>164</v>
      </c>
      <c r="C34" s="410"/>
      <c r="D34" s="64">
        <f aca="true" t="shared" si="3" ref="D34:J34">D31+D33</f>
        <v>50.45769497900483</v>
      </c>
      <c r="E34" s="64">
        <f t="shared" si="3"/>
        <v>20.0398999999999</v>
      </c>
      <c r="F34" s="363">
        <f t="shared" si="3"/>
        <v>67.7730479719949</v>
      </c>
      <c r="G34" s="363">
        <f t="shared" si="3"/>
        <v>24.142500000000158</v>
      </c>
      <c r="H34" s="363">
        <f t="shared" si="3"/>
        <v>118.23074295100065</v>
      </c>
      <c r="I34" s="363">
        <f t="shared" si="3"/>
        <v>44.18240000000028</v>
      </c>
      <c r="J34" s="364">
        <f t="shared" si="3"/>
        <v>76.17071525600043</v>
      </c>
      <c r="K34" s="261"/>
      <c r="L34" s="119"/>
      <c r="M34" s="119"/>
      <c r="N34" s="119"/>
      <c r="O34" s="4"/>
      <c r="P34" s="69"/>
      <c r="Q34" s="5"/>
    </row>
    <row r="35" spans="1:17" ht="15" customHeight="1" hidden="1">
      <c r="A35" s="277"/>
      <c r="B35" s="47"/>
      <c r="C35" s="47"/>
      <c r="D35" s="65"/>
      <c r="E35" s="65"/>
      <c r="F35" s="66"/>
      <c r="G35" s="61"/>
      <c r="H35" s="61"/>
      <c r="I35" s="61"/>
      <c r="J35" s="290"/>
      <c r="K35" s="261"/>
      <c r="L35" s="119"/>
      <c r="M35" s="119"/>
      <c r="N35" s="119"/>
      <c r="O35" s="4"/>
      <c r="Q35" s="5"/>
    </row>
    <row r="36" spans="1:17" ht="15" customHeight="1">
      <c r="A36" s="277" t="s">
        <v>39</v>
      </c>
      <c r="B36" s="407" t="s">
        <v>40</v>
      </c>
      <c r="C36" s="408"/>
      <c r="D36" s="65">
        <f>1009/100</f>
        <v>10.09</v>
      </c>
      <c r="E36" s="65">
        <f>192/100</f>
        <v>1.92</v>
      </c>
      <c r="F36" s="74">
        <f>H36-D36</f>
        <v>12.989999999999998</v>
      </c>
      <c r="G36" s="74">
        <f>I36-E36</f>
        <v>-0.4099999999999999</v>
      </c>
      <c r="H36" s="74">
        <v>23.08</v>
      </c>
      <c r="I36" s="74">
        <f>151/100</f>
        <v>1.51</v>
      </c>
      <c r="J36" s="286">
        <f>-1184.25/100</f>
        <v>-11.8425</v>
      </c>
      <c r="K36" s="261"/>
      <c r="L36" s="119"/>
      <c r="M36" s="119"/>
      <c r="N36" s="119"/>
      <c r="O36" s="4"/>
      <c r="Q36" s="5"/>
    </row>
    <row r="37" spans="1:17" ht="15" customHeight="1">
      <c r="A37" s="277" t="s">
        <v>203</v>
      </c>
      <c r="B37" s="407" t="s">
        <v>211</v>
      </c>
      <c r="C37" s="408"/>
      <c r="D37" s="65"/>
      <c r="E37" s="65"/>
      <c r="F37" s="66">
        <f>+F34-F36</f>
        <v>54.783047971994904</v>
      </c>
      <c r="G37" s="66">
        <f>+G34-G36</f>
        <v>24.55250000000016</v>
      </c>
      <c r="H37" s="66">
        <f>+H34-H36</f>
        <v>95.15074295100065</v>
      </c>
      <c r="I37" s="66">
        <f>+I34-I36</f>
        <v>42.67240000000028</v>
      </c>
      <c r="J37" s="291">
        <f>+J34-J36</f>
        <v>88.01321525600044</v>
      </c>
      <c r="K37" s="261"/>
      <c r="L37" s="119"/>
      <c r="M37" s="119"/>
      <c r="N37" s="119"/>
      <c r="O37" s="4"/>
      <c r="Q37" s="5"/>
    </row>
    <row r="38" spans="1:17" ht="15" customHeight="1" hidden="1">
      <c r="A38" s="284"/>
      <c r="B38" s="47"/>
      <c r="C38" s="47"/>
      <c r="D38" s="64">
        <f aca="true" t="shared" si="4" ref="D38:I38">D34-D36</f>
        <v>40.367694979004824</v>
      </c>
      <c r="E38" s="64">
        <f t="shared" si="4"/>
        <v>18.1198999999999</v>
      </c>
      <c r="F38" s="64">
        <f t="shared" si="4"/>
        <v>54.783047971994904</v>
      </c>
      <c r="G38" s="64">
        <f t="shared" si="4"/>
        <v>24.55250000000016</v>
      </c>
      <c r="H38" s="64">
        <f t="shared" si="4"/>
        <v>95.15074295100065</v>
      </c>
      <c r="I38" s="64">
        <f t="shared" si="4"/>
        <v>42.67240000000028</v>
      </c>
      <c r="J38" s="288">
        <f>J34-J36</f>
        <v>88.01321525600044</v>
      </c>
      <c r="K38" s="261"/>
      <c r="L38" s="119"/>
      <c r="M38" s="119"/>
      <c r="N38" s="119"/>
      <c r="O38" s="4"/>
      <c r="Q38" s="5"/>
    </row>
    <row r="39" spans="1:17" ht="15" customHeight="1" hidden="1">
      <c r="A39" s="284"/>
      <c r="B39" s="407"/>
      <c r="C39" s="408"/>
      <c r="D39" s="172"/>
      <c r="E39" s="172"/>
      <c r="F39" s="64"/>
      <c r="G39" s="64"/>
      <c r="H39" s="64"/>
      <c r="I39" s="64"/>
      <c r="J39" s="286"/>
      <c r="K39" s="261"/>
      <c r="L39" s="119"/>
      <c r="M39" s="119"/>
      <c r="N39" s="119"/>
      <c r="O39" s="4"/>
      <c r="Q39" s="5"/>
    </row>
    <row r="40" spans="1:17" ht="15" customHeight="1">
      <c r="A40" s="277" t="s">
        <v>43</v>
      </c>
      <c r="B40" s="407" t="s">
        <v>44</v>
      </c>
      <c r="C40" s="408"/>
      <c r="D40" s="65"/>
      <c r="E40" s="65"/>
      <c r="F40" s="66">
        <v>0</v>
      </c>
      <c r="G40" s="68">
        <v>0</v>
      </c>
      <c r="H40" s="68"/>
      <c r="I40" s="68">
        <v>0</v>
      </c>
      <c r="J40" s="286">
        <v>0</v>
      </c>
      <c r="K40" s="263"/>
      <c r="L40" s="121"/>
      <c r="M40" s="121"/>
      <c r="N40" s="121"/>
      <c r="O40" s="4"/>
      <c r="Q40" s="5"/>
    </row>
    <row r="41" spans="1:17" ht="15" customHeight="1">
      <c r="A41" s="277" t="s">
        <v>45</v>
      </c>
      <c r="B41" s="409" t="s">
        <v>212</v>
      </c>
      <c r="C41" s="410"/>
      <c r="D41" s="64">
        <f aca="true" t="shared" si="5" ref="D41:J41">SUM(D38:D39)-D40</f>
        <v>40.367694979004824</v>
      </c>
      <c r="E41" s="64">
        <f t="shared" si="5"/>
        <v>18.1198999999999</v>
      </c>
      <c r="F41" s="363">
        <f t="shared" si="5"/>
        <v>54.783047971994904</v>
      </c>
      <c r="G41" s="363">
        <f t="shared" si="5"/>
        <v>24.55250000000016</v>
      </c>
      <c r="H41" s="363">
        <f t="shared" si="5"/>
        <v>95.15074295100065</v>
      </c>
      <c r="I41" s="363">
        <f t="shared" si="5"/>
        <v>42.67240000000028</v>
      </c>
      <c r="J41" s="364">
        <f t="shared" si="5"/>
        <v>88.01321525600044</v>
      </c>
      <c r="K41" s="261"/>
      <c r="L41" s="119"/>
      <c r="M41" s="119"/>
      <c r="N41" s="119"/>
      <c r="O41" s="4"/>
      <c r="Q41" s="5"/>
    </row>
    <row r="42" spans="1:17" ht="15" customHeight="1" hidden="1">
      <c r="A42" s="277"/>
      <c r="B42" s="47"/>
      <c r="C42" s="47"/>
      <c r="D42" s="65"/>
      <c r="E42" s="65"/>
      <c r="F42" s="66"/>
      <c r="G42" s="61"/>
      <c r="H42" s="61"/>
      <c r="I42" s="61"/>
      <c r="J42" s="276"/>
      <c r="K42" s="261"/>
      <c r="L42" s="119"/>
      <c r="M42" s="119"/>
      <c r="N42" s="119"/>
      <c r="O42" s="4"/>
      <c r="Q42" s="5"/>
    </row>
    <row r="43" spans="1:17" ht="15" customHeight="1">
      <c r="A43" s="277" t="s">
        <v>47</v>
      </c>
      <c r="B43" s="407" t="s">
        <v>165</v>
      </c>
      <c r="C43" s="408"/>
      <c r="D43" s="65">
        <f>2375/100</f>
        <v>23.75</v>
      </c>
      <c r="E43" s="65">
        <f>2375/100</f>
        <v>23.75</v>
      </c>
      <c r="F43" s="68">
        <v>47.51</v>
      </c>
      <c r="G43" s="68">
        <v>23.75</v>
      </c>
      <c r="H43" s="68">
        <v>47.51</v>
      </c>
      <c r="I43" s="68">
        <v>23.75</v>
      </c>
      <c r="J43" s="276">
        <v>23.75</v>
      </c>
      <c r="K43" s="261"/>
      <c r="L43" s="123"/>
      <c r="M43" s="119"/>
      <c r="N43" s="119"/>
      <c r="O43" s="4"/>
      <c r="Q43" s="5"/>
    </row>
    <row r="44" spans="1:17" ht="15" customHeight="1">
      <c r="A44" s="277" t="s">
        <v>50</v>
      </c>
      <c r="B44" s="431" t="s">
        <v>178</v>
      </c>
      <c r="C44" s="432"/>
      <c r="D44" s="73"/>
      <c r="E44" s="73"/>
      <c r="F44" s="66">
        <v>0</v>
      </c>
      <c r="G44" s="66">
        <v>0</v>
      </c>
      <c r="H44" s="66">
        <v>0</v>
      </c>
      <c r="I44" s="66">
        <v>0</v>
      </c>
      <c r="J44" s="291">
        <f>84154.51/100</f>
        <v>841.5450999999999</v>
      </c>
      <c r="K44" s="264"/>
      <c r="L44" s="122"/>
      <c r="M44" s="122"/>
      <c r="N44" s="122"/>
      <c r="O44" s="4"/>
      <c r="Q44" s="5"/>
    </row>
    <row r="45" spans="1:17" ht="15" customHeight="1" hidden="1">
      <c r="A45" s="277"/>
      <c r="B45" s="407"/>
      <c r="C45" s="408"/>
      <c r="D45" s="60"/>
      <c r="E45" s="60"/>
      <c r="F45" s="61"/>
      <c r="G45" s="61"/>
      <c r="H45" s="61"/>
      <c r="I45" s="61"/>
      <c r="J45" s="290"/>
      <c r="K45" s="261"/>
      <c r="L45" s="119"/>
      <c r="M45" s="119"/>
      <c r="N45" s="119"/>
      <c r="O45" s="4"/>
      <c r="Q45" s="5"/>
    </row>
    <row r="46" spans="1:17" ht="15" customHeight="1">
      <c r="A46" s="277" t="s">
        <v>53</v>
      </c>
      <c r="B46" s="407" t="s">
        <v>54</v>
      </c>
      <c r="C46" s="408"/>
      <c r="D46" s="60"/>
      <c r="E46" s="60"/>
      <c r="F46" s="61"/>
      <c r="G46" s="61"/>
      <c r="H46" s="61"/>
      <c r="I46" s="61"/>
      <c r="J46" s="290"/>
      <c r="K46" s="261"/>
      <c r="L46" s="119"/>
      <c r="M46" s="119"/>
      <c r="N46" s="119"/>
      <c r="O46" s="4"/>
      <c r="Q46" s="5"/>
    </row>
    <row r="47" spans="1:17" ht="15" customHeight="1" hidden="1">
      <c r="A47" s="277"/>
      <c r="B47" s="47"/>
      <c r="C47" s="47"/>
      <c r="D47" s="60"/>
      <c r="E47" s="60"/>
      <c r="F47" s="61"/>
      <c r="G47" s="61"/>
      <c r="H47" s="61"/>
      <c r="I47" s="61"/>
      <c r="J47" s="290"/>
      <c r="K47" s="265"/>
      <c r="L47" s="123"/>
      <c r="M47" s="123"/>
      <c r="N47" s="123"/>
      <c r="O47" s="4"/>
      <c r="Q47" s="5"/>
    </row>
    <row r="48" spans="1:17" ht="15" customHeight="1">
      <c r="A48" s="277" t="s">
        <v>55</v>
      </c>
      <c r="B48" s="407" t="s">
        <v>179</v>
      </c>
      <c r="C48" s="408"/>
      <c r="D48" s="60"/>
      <c r="E48" s="60"/>
      <c r="F48" s="204"/>
      <c r="G48" s="204"/>
      <c r="H48" s="204"/>
      <c r="I48" s="204"/>
      <c r="J48" s="292"/>
      <c r="K48" s="265"/>
      <c r="L48" s="123"/>
      <c r="M48" s="123"/>
      <c r="N48" s="123"/>
      <c r="O48" s="4"/>
      <c r="Q48" s="5"/>
    </row>
    <row r="49" spans="1:17" ht="15" customHeight="1">
      <c r="A49" s="284"/>
      <c r="B49" s="407" t="s">
        <v>180</v>
      </c>
      <c r="C49" s="408"/>
      <c r="D49" s="205">
        <f>D41/D43</f>
        <v>1.699692420168624</v>
      </c>
      <c r="E49" s="205">
        <f>E41/E43</f>
        <v>0.7629431578947327</v>
      </c>
      <c r="F49" s="211">
        <f>F41/F43</f>
        <v>1.1530845710796656</v>
      </c>
      <c r="G49" s="211">
        <f>G41/47.51</f>
        <v>0.5167859398021503</v>
      </c>
      <c r="H49" s="211">
        <f>H41/H43</f>
        <v>2.002751903830786</v>
      </c>
      <c r="I49" s="211">
        <f>I41/47.51</f>
        <v>0.898177225847196</v>
      </c>
      <c r="J49" s="293">
        <f>J41/47.51</f>
        <v>1.8525197906967046</v>
      </c>
      <c r="K49" s="265"/>
      <c r="L49" s="123"/>
      <c r="M49" s="123"/>
      <c r="N49" s="123"/>
      <c r="O49" s="4"/>
      <c r="Q49" s="5"/>
    </row>
    <row r="50" spans="1:17" ht="15" customHeight="1" hidden="1">
      <c r="A50" s="277"/>
      <c r="B50" s="47"/>
      <c r="C50" s="47"/>
      <c r="D50" s="60"/>
      <c r="E50" s="60"/>
      <c r="F50" s="212"/>
      <c r="G50" s="212"/>
      <c r="H50" s="212"/>
      <c r="I50" s="212"/>
      <c r="J50" s="294"/>
      <c r="K50" s="265"/>
      <c r="L50" s="123"/>
      <c r="M50" s="123"/>
      <c r="N50" s="123"/>
      <c r="O50" s="4"/>
      <c r="Q50" s="5"/>
    </row>
    <row r="51" spans="1:17" ht="15" customHeight="1">
      <c r="A51" s="277" t="s">
        <v>59</v>
      </c>
      <c r="B51" s="407" t="s">
        <v>181</v>
      </c>
      <c r="C51" s="408"/>
      <c r="D51" s="60"/>
      <c r="E51" s="60"/>
      <c r="F51" s="212"/>
      <c r="G51" s="212"/>
      <c r="H51" s="212"/>
      <c r="I51" s="212"/>
      <c r="J51" s="294"/>
      <c r="K51" s="265"/>
      <c r="L51" s="123"/>
      <c r="M51" s="123"/>
      <c r="N51" s="123"/>
      <c r="O51" s="4"/>
      <c r="Q51" s="5"/>
    </row>
    <row r="52" spans="1:17" ht="15" customHeight="1">
      <c r="A52" s="284"/>
      <c r="B52" s="407" t="s">
        <v>180</v>
      </c>
      <c r="C52" s="408"/>
      <c r="D52" s="74">
        <f>D49</f>
        <v>1.699692420168624</v>
      </c>
      <c r="E52" s="74">
        <f aca="true" t="shared" si="6" ref="E52:J52">E49</f>
        <v>0.7629431578947327</v>
      </c>
      <c r="F52" s="211">
        <f>F49</f>
        <v>1.1530845710796656</v>
      </c>
      <c r="G52" s="211">
        <f t="shared" si="6"/>
        <v>0.5167859398021503</v>
      </c>
      <c r="H52" s="211">
        <f t="shared" si="6"/>
        <v>2.002751903830786</v>
      </c>
      <c r="I52" s="211">
        <f t="shared" si="6"/>
        <v>0.898177225847196</v>
      </c>
      <c r="J52" s="211">
        <f t="shared" si="6"/>
        <v>1.8525197906967046</v>
      </c>
      <c r="K52" s="265"/>
      <c r="L52" s="123"/>
      <c r="M52" s="123"/>
      <c r="N52" s="123"/>
      <c r="O52" s="4"/>
      <c r="Q52" s="5"/>
    </row>
    <row r="53" spans="1:17" ht="15" customHeight="1">
      <c r="A53" s="277" t="s">
        <v>61</v>
      </c>
      <c r="B53" s="407" t="s">
        <v>62</v>
      </c>
      <c r="C53" s="408"/>
      <c r="D53" s="60"/>
      <c r="E53" s="60"/>
      <c r="F53" s="212"/>
      <c r="G53" s="212"/>
      <c r="H53" s="212"/>
      <c r="I53" s="212"/>
      <c r="J53" s="294"/>
      <c r="K53" s="265"/>
      <c r="L53" s="123"/>
      <c r="M53" s="123"/>
      <c r="N53" s="123"/>
      <c r="O53" s="4"/>
      <c r="Q53" s="5"/>
    </row>
    <row r="54" spans="1:17" ht="15" customHeight="1">
      <c r="A54" s="284"/>
      <c r="B54" s="431" t="s">
        <v>63</v>
      </c>
      <c r="C54" s="432"/>
      <c r="D54" s="85">
        <v>93955664</v>
      </c>
      <c r="E54" s="85">
        <v>93955664</v>
      </c>
      <c r="F54" s="213">
        <f>93955664+99355664</f>
        <v>193311328</v>
      </c>
      <c r="G54" s="213">
        <v>93955664</v>
      </c>
      <c r="H54" s="213">
        <f>93955664+99355664</f>
        <v>193311328</v>
      </c>
      <c r="I54" s="213">
        <v>93955664</v>
      </c>
      <c r="J54" s="295">
        <v>93955664</v>
      </c>
      <c r="K54" s="261"/>
      <c r="L54" s="119"/>
      <c r="M54" s="119"/>
      <c r="N54" s="119"/>
      <c r="O54" s="4"/>
      <c r="Q54" s="5"/>
    </row>
    <row r="55" spans="1:17" ht="15" customHeight="1">
      <c r="A55" s="284"/>
      <c r="B55" s="431" t="s">
        <v>64</v>
      </c>
      <c r="C55" s="432"/>
      <c r="D55" s="64">
        <v>39.55302563731502</v>
      </c>
      <c r="E55" s="64">
        <v>39.55302563731502</v>
      </c>
      <c r="F55" s="214">
        <f>F54/(F54+F64)*100</f>
        <v>40.68965928635985</v>
      </c>
      <c r="G55" s="214">
        <f>G54/(G54+G64)*100</f>
        <v>39.55302563731502</v>
      </c>
      <c r="H55" s="214">
        <f>H54/(H54+H64)*100</f>
        <v>40.68965928635985</v>
      </c>
      <c r="I55" s="214">
        <f>I54/(I54+I64)*100</f>
        <v>39.55302563731502</v>
      </c>
      <c r="J55" s="296">
        <f>J54/(J54+J64)*100</f>
        <v>39.55302563731502</v>
      </c>
      <c r="K55" s="261"/>
      <c r="L55" s="119"/>
      <c r="M55" s="119"/>
      <c r="N55" s="119"/>
      <c r="O55" s="4"/>
      <c r="Q55" s="5"/>
    </row>
    <row r="56" spans="1:17" ht="15" customHeight="1">
      <c r="A56" s="277" t="s">
        <v>65</v>
      </c>
      <c r="B56" s="407" t="s">
        <v>66</v>
      </c>
      <c r="C56" s="408"/>
      <c r="D56" s="60"/>
      <c r="E56" s="60"/>
      <c r="F56" s="212"/>
      <c r="G56" s="212"/>
      <c r="H56" s="212"/>
      <c r="I56" s="212"/>
      <c r="J56" s="294"/>
      <c r="K56" s="261"/>
      <c r="L56" s="119"/>
      <c r="M56" s="119"/>
      <c r="N56" s="119"/>
      <c r="O56" s="4"/>
      <c r="Q56" s="5"/>
    </row>
    <row r="57" spans="1:17" ht="15" customHeight="1">
      <c r="A57" s="277" t="s">
        <v>55</v>
      </c>
      <c r="B57" s="407" t="s">
        <v>67</v>
      </c>
      <c r="C57" s="408"/>
      <c r="D57" s="60"/>
      <c r="E57" s="60"/>
      <c r="F57" s="212"/>
      <c r="G57" s="212"/>
      <c r="H57" s="212"/>
      <c r="I57" s="212"/>
      <c r="J57" s="294"/>
      <c r="K57" s="261"/>
      <c r="L57" s="119"/>
      <c r="M57" s="119"/>
      <c r="N57" s="119"/>
      <c r="O57" s="4"/>
      <c r="Q57" s="5"/>
    </row>
    <row r="58" spans="1:17" ht="15" customHeight="1">
      <c r="A58" s="277"/>
      <c r="B58" s="431" t="s">
        <v>63</v>
      </c>
      <c r="C58" s="432"/>
      <c r="D58" s="115" t="s">
        <v>68</v>
      </c>
      <c r="E58" s="115" t="s">
        <v>68</v>
      </c>
      <c r="F58" s="215" t="s">
        <v>68</v>
      </c>
      <c r="G58" s="215" t="s">
        <v>68</v>
      </c>
      <c r="H58" s="215" t="s">
        <v>68</v>
      </c>
      <c r="I58" s="215" t="s">
        <v>68</v>
      </c>
      <c r="J58" s="297" t="s">
        <v>68</v>
      </c>
      <c r="K58" s="261"/>
      <c r="L58" s="119"/>
      <c r="M58" s="119"/>
      <c r="N58" s="119"/>
      <c r="O58" s="4"/>
      <c r="Q58" s="5"/>
    </row>
    <row r="59" spans="1:17" ht="15" customHeight="1" hidden="1">
      <c r="A59" s="277"/>
      <c r="B59" s="431"/>
      <c r="C59" s="432"/>
      <c r="D59" s="115"/>
      <c r="E59" s="115"/>
      <c r="F59" s="215"/>
      <c r="G59" s="215"/>
      <c r="H59" s="215"/>
      <c r="I59" s="215"/>
      <c r="J59" s="297"/>
      <c r="K59" s="261"/>
      <c r="L59" s="119"/>
      <c r="M59" s="119"/>
      <c r="N59" s="119"/>
      <c r="O59" s="4"/>
      <c r="Q59" s="5"/>
    </row>
    <row r="60" spans="1:17" ht="15" customHeight="1">
      <c r="A60" s="277"/>
      <c r="B60" s="431" t="s">
        <v>176</v>
      </c>
      <c r="C60" s="432"/>
      <c r="D60" s="115" t="s">
        <v>68</v>
      </c>
      <c r="E60" s="115" t="s">
        <v>68</v>
      </c>
      <c r="F60" s="215" t="s">
        <v>68</v>
      </c>
      <c r="G60" s="215" t="s">
        <v>68</v>
      </c>
      <c r="H60" s="215" t="s">
        <v>68</v>
      </c>
      <c r="I60" s="215" t="s">
        <v>68</v>
      </c>
      <c r="J60" s="297" t="s">
        <v>68</v>
      </c>
      <c r="K60" s="261"/>
      <c r="L60" s="119"/>
      <c r="M60" s="119"/>
      <c r="N60" s="119"/>
      <c r="O60" s="4"/>
      <c r="Q60" s="5"/>
    </row>
    <row r="61" spans="1:17" ht="15" customHeight="1" hidden="1">
      <c r="A61" s="277"/>
      <c r="B61" s="79"/>
      <c r="C61" s="79"/>
      <c r="D61" s="115"/>
      <c r="E61" s="115"/>
      <c r="F61" s="215"/>
      <c r="G61" s="215"/>
      <c r="H61" s="215"/>
      <c r="I61" s="215"/>
      <c r="J61" s="297"/>
      <c r="K61" s="261"/>
      <c r="L61" s="119"/>
      <c r="M61" s="119"/>
      <c r="N61" s="119"/>
      <c r="O61" s="4"/>
      <c r="Q61" s="5"/>
    </row>
    <row r="62" spans="1:17" ht="15" customHeight="1">
      <c r="A62" s="277"/>
      <c r="B62" s="431" t="s">
        <v>167</v>
      </c>
      <c r="C62" s="432"/>
      <c r="D62" s="115" t="s">
        <v>68</v>
      </c>
      <c r="E62" s="115" t="s">
        <v>68</v>
      </c>
      <c r="F62" s="215" t="s">
        <v>68</v>
      </c>
      <c r="G62" s="215" t="s">
        <v>68</v>
      </c>
      <c r="H62" s="215" t="s">
        <v>68</v>
      </c>
      <c r="I62" s="215" t="s">
        <v>68</v>
      </c>
      <c r="J62" s="297" t="s">
        <v>68</v>
      </c>
      <c r="K62" s="261"/>
      <c r="L62" s="119"/>
      <c r="M62" s="119"/>
      <c r="N62" s="119"/>
      <c r="O62" s="4"/>
      <c r="Q62" s="5"/>
    </row>
    <row r="63" spans="1:17" ht="15" customHeight="1">
      <c r="A63" s="277" t="s">
        <v>59</v>
      </c>
      <c r="B63" s="407" t="s">
        <v>73</v>
      </c>
      <c r="C63" s="408"/>
      <c r="D63" s="60"/>
      <c r="E63" s="60"/>
      <c r="F63" s="212"/>
      <c r="G63" s="212"/>
      <c r="H63" s="212"/>
      <c r="I63" s="212"/>
      <c r="J63" s="294"/>
      <c r="K63" s="261"/>
      <c r="L63" s="119"/>
      <c r="M63" s="119"/>
      <c r="N63" s="119"/>
      <c r="O63" s="4"/>
      <c r="Q63" s="5"/>
    </row>
    <row r="64" spans="1:17" ht="15" customHeight="1">
      <c r="A64" s="277"/>
      <c r="B64" s="431" t="s">
        <v>63</v>
      </c>
      <c r="C64" s="432"/>
      <c r="D64" s="201">
        <v>143587893</v>
      </c>
      <c r="E64" s="201">
        <v>143587893</v>
      </c>
      <c r="F64" s="213">
        <f>475087114-F54</f>
        <v>281775786</v>
      </c>
      <c r="G64" s="213">
        <v>143587893</v>
      </c>
      <c r="H64" s="213">
        <f>475087114-H54</f>
        <v>281775786</v>
      </c>
      <c r="I64" s="213">
        <v>143587893</v>
      </c>
      <c r="J64" s="295">
        <v>143587893</v>
      </c>
      <c r="K64" s="261"/>
      <c r="L64" s="119"/>
      <c r="M64" s="119"/>
      <c r="N64" s="119"/>
      <c r="O64" s="4"/>
      <c r="Q64" s="5"/>
    </row>
    <row r="65" spans="1:17" ht="15" customHeight="1" hidden="1">
      <c r="A65" s="277"/>
      <c r="B65" s="431"/>
      <c r="C65" s="432"/>
      <c r="D65" s="201"/>
      <c r="E65" s="201"/>
      <c r="F65" s="216"/>
      <c r="G65" s="216"/>
      <c r="H65" s="216"/>
      <c r="I65" s="216"/>
      <c r="J65" s="294"/>
      <c r="K65" s="261"/>
      <c r="L65" s="119"/>
      <c r="M65" s="119"/>
      <c r="N65" s="119"/>
      <c r="O65" s="4"/>
      <c r="Q65" s="5"/>
    </row>
    <row r="66" spans="1:17" ht="15" customHeight="1">
      <c r="A66" s="277"/>
      <c r="B66" s="431" t="s">
        <v>176</v>
      </c>
      <c r="C66" s="432"/>
      <c r="D66" s="202">
        <v>100</v>
      </c>
      <c r="E66" s="202">
        <v>100</v>
      </c>
      <c r="F66" s="217">
        <v>100</v>
      </c>
      <c r="G66" s="217">
        <v>100</v>
      </c>
      <c r="H66" s="217">
        <v>100</v>
      </c>
      <c r="I66" s="217">
        <v>100</v>
      </c>
      <c r="J66" s="298">
        <v>100</v>
      </c>
      <c r="K66" s="261"/>
      <c r="L66" s="119"/>
      <c r="M66" s="119"/>
      <c r="N66" s="119"/>
      <c r="O66" s="4"/>
      <c r="Q66" s="5"/>
    </row>
    <row r="67" spans="1:17" ht="15" customHeight="1" hidden="1">
      <c r="A67" s="277"/>
      <c r="B67" s="79"/>
      <c r="C67" s="79"/>
      <c r="D67" s="201"/>
      <c r="E67" s="201"/>
      <c r="F67" s="216"/>
      <c r="G67" s="216"/>
      <c r="H67" s="216"/>
      <c r="I67" s="216"/>
      <c r="J67" s="299"/>
      <c r="K67" s="261"/>
      <c r="L67" s="119"/>
      <c r="M67" s="119"/>
      <c r="N67" s="119"/>
      <c r="O67" s="4"/>
      <c r="Q67" s="5"/>
    </row>
    <row r="68" spans="1:17" ht="15" customHeight="1">
      <c r="A68" s="338"/>
      <c r="B68" s="451" t="s">
        <v>167</v>
      </c>
      <c r="C68" s="452"/>
      <c r="D68" s="339">
        <v>60.44697436268498</v>
      </c>
      <c r="E68" s="339">
        <v>60.44697436268498</v>
      </c>
      <c r="F68" s="340">
        <f>F64/(F64+F54)*100</f>
        <v>59.31034071364015</v>
      </c>
      <c r="G68" s="340">
        <f>G64/(G64+G54)*100</f>
        <v>60.44697436268499</v>
      </c>
      <c r="H68" s="340">
        <f>H64/(H64+H54)*100</f>
        <v>59.31034071364015</v>
      </c>
      <c r="I68" s="340">
        <f>I64/(I64+I54)*100</f>
        <v>60.44697436268499</v>
      </c>
      <c r="J68" s="341">
        <f>J64/(J64+J54)*100</f>
        <v>60.44697436268499</v>
      </c>
      <c r="K68" s="261"/>
      <c r="L68" s="119"/>
      <c r="M68" s="119"/>
      <c r="N68" s="119"/>
      <c r="O68" s="4"/>
      <c r="Q68" s="5"/>
    </row>
    <row r="69" spans="1:17" ht="0.75" customHeight="1">
      <c r="A69" s="333"/>
      <c r="B69" s="334"/>
      <c r="C69" s="334"/>
      <c r="D69" s="335"/>
      <c r="E69" s="335"/>
      <c r="F69" s="336"/>
      <c r="G69" s="336"/>
      <c r="H69" s="336"/>
      <c r="I69" s="336"/>
      <c r="J69" s="337"/>
      <c r="K69" s="258"/>
      <c r="O69" s="4"/>
      <c r="Q69" s="5"/>
    </row>
    <row r="70" spans="1:17" ht="13.5" customHeight="1">
      <c r="A70" s="348" t="s">
        <v>74</v>
      </c>
      <c r="B70" s="105"/>
      <c r="C70" s="105"/>
      <c r="D70" s="332"/>
      <c r="E70" s="332"/>
      <c r="F70" s="105"/>
      <c r="G70" s="105"/>
      <c r="H70" s="105"/>
      <c r="I70" s="105"/>
      <c r="J70" s="304"/>
      <c r="K70" s="258"/>
      <c r="O70" s="4"/>
      <c r="Q70" s="5"/>
    </row>
    <row r="71" spans="1:20" s="4" customFormat="1" ht="15" customHeight="1">
      <c r="A71" s="342" t="s">
        <v>198</v>
      </c>
      <c r="B71" s="453" t="s">
        <v>175</v>
      </c>
      <c r="C71" s="454"/>
      <c r="D71" s="454"/>
      <c r="E71" s="454"/>
      <c r="F71" s="454"/>
      <c r="G71" s="454"/>
      <c r="H71" s="454"/>
      <c r="I71" s="454"/>
      <c r="J71" s="306" t="s">
        <v>134</v>
      </c>
      <c r="K71" s="258"/>
      <c r="Q71" s="104"/>
      <c r="R71" s="5"/>
      <c r="S71" s="5"/>
      <c r="T71" s="5"/>
    </row>
    <row r="72" spans="1:20" s="4" customFormat="1" ht="15" customHeight="1">
      <c r="A72" s="301"/>
      <c r="B72" s="247" t="s">
        <v>2</v>
      </c>
      <c r="C72" s="445" t="s">
        <v>182</v>
      </c>
      <c r="D72" s="446"/>
      <c r="E72" s="446"/>
      <c r="F72" s="447"/>
      <c r="G72" s="437" t="s">
        <v>213</v>
      </c>
      <c r="H72" s="438"/>
      <c r="I72" s="437" t="s">
        <v>188</v>
      </c>
      <c r="J72" s="455"/>
      <c r="K72" s="258"/>
      <c r="Q72" s="104"/>
      <c r="R72" s="5"/>
      <c r="S72" s="5"/>
      <c r="T72" s="5"/>
    </row>
    <row r="73" spans="1:20" s="4" customFormat="1" ht="15" customHeight="1">
      <c r="A73" s="301"/>
      <c r="B73" s="353"/>
      <c r="C73" s="448" t="s">
        <v>156</v>
      </c>
      <c r="D73" s="449"/>
      <c r="E73" s="449"/>
      <c r="F73" s="450"/>
      <c r="G73" s="439" t="s">
        <v>156</v>
      </c>
      <c r="H73" s="440"/>
      <c r="I73" s="439" t="s">
        <v>155</v>
      </c>
      <c r="J73" s="456"/>
      <c r="K73" s="258"/>
      <c r="Q73" s="104"/>
      <c r="R73" s="5"/>
      <c r="S73" s="5"/>
      <c r="T73" s="5"/>
    </row>
    <row r="74" spans="1:20" s="4" customFormat="1" ht="15" customHeight="1">
      <c r="A74" s="301"/>
      <c r="B74" s="354" t="s">
        <v>154</v>
      </c>
      <c r="C74" s="352"/>
      <c r="D74" s="14"/>
      <c r="E74" s="14"/>
      <c r="F74" s="246"/>
      <c r="G74" s="246"/>
      <c r="H74" s="249"/>
      <c r="I74" s="257"/>
      <c r="J74" s="303"/>
      <c r="K74" s="258"/>
      <c r="Q74" s="104"/>
      <c r="R74" s="5"/>
      <c r="S74" s="5"/>
      <c r="T74" s="5"/>
    </row>
    <row r="75" spans="1:20" s="4" customFormat="1" ht="15" customHeight="1">
      <c r="A75" s="301"/>
      <c r="B75" s="355" t="s">
        <v>153</v>
      </c>
      <c r="C75" s="321">
        <v>47.51</v>
      </c>
      <c r="D75" s="14"/>
      <c r="E75" s="14"/>
      <c r="F75" s="322"/>
      <c r="G75" s="323">
        <v>23.75</v>
      </c>
      <c r="H75" s="322"/>
      <c r="I75" s="322">
        <v>23.75</v>
      </c>
      <c r="J75" s="324"/>
      <c r="K75" s="258"/>
      <c r="Q75" s="104"/>
      <c r="R75" s="5"/>
      <c r="S75" s="5"/>
      <c r="T75" s="5"/>
    </row>
    <row r="76" spans="1:20" s="4" customFormat="1" ht="15" customHeight="1">
      <c r="A76" s="301"/>
      <c r="B76" s="355" t="s">
        <v>170</v>
      </c>
      <c r="C76" s="325">
        <v>912.94</v>
      </c>
      <c r="D76" s="14"/>
      <c r="E76" s="14"/>
      <c r="F76" s="328">
        <f>+C76+C75</f>
        <v>960.45</v>
      </c>
      <c r="G76" s="326">
        <v>829.06</v>
      </c>
      <c r="H76" s="328">
        <f>+G76+G75</f>
        <v>852.81</v>
      </c>
      <c r="I76" s="326">
        <v>841.55</v>
      </c>
      <c r="J76" s="349">
        <f>23.75+841.55</f>
        <v>865.3</v>
      </c>
      <c r="K76" s="258"/>
      <c r="Q76" s="104"/>
      <c r="R76" s="5"/>
      <c r="S76" s="5"/>
      <c r="T76" s="5"/>
    </row>
    <row r="77" spans="1:20" s="4" customFormat="1" ht="1.5" customHeight="1">
      <c r="A77" s="301"/>
      <c r="B77" s="356"/>
      <c r="C77" s="321"/>
      <c r="D77" s="14"/>
      <c r="E77" s="14"/>
      <c r="F77" s="322"/>
      <c r="G77" s="323"/>
      <c r="H77" s="322"/>
      <c r="I77" s="322"/>
      <c r="J77" s="324"/>
      <c r="K77" s="258"/>
      <c r="Q77" s="104"/>
      <c r="R77" s="5"/>
      <c r="S77" s="5"/>
      <c r="T77" s="5"/>
    </row>
    <row r="78" spans="1:20" s="4" customFormat="1" ht="15" customHeight="1">
      <c r="A78" s="301"/>
      <c r="B78" s="356" t="s">
        <v>151</v>
      </c>
      <c r="C78" s="321"/>
      <c r="D78" s="14"/>
      <c r="E78" s="14"/>
      <c r="F78" s="322">
        <v>1011.6</v>
      </c>
      <c r="G78" s="323"/>
      <c r="H78" s="322">
        <v>1156.06</v>
      </c>
      <c r="I78" s="322"/>
      <c r="J78" s="324">
        <v>1003.29</v>
      </c>
      <c r="K78" s="258"/>
      <c r="Q78" s="104"/>
      <c r="R78" s="5"/>
      <c r="S78" s="5"/>
      <c r="T78" s="5"/>
    </row>
    <row r="79" spans="1:20" s="4" customFormat="1" ht="1.5" customHeight="1">
      <c r="A79" s="301"/>
      <c r="B79" s="356"/>
      <c r="C79" s="321"/>
      <c r="D79" s="14"/>
      <c r="E79" s="14"/>
      <c r="F79" s="322"/>
      <c r="G79" s="323"/>
      <c r="H79" s="322"/>
      <c r="I79" s="322"/>
      <c r="J79" s="324"/>
      <c r="K79" s="258"/>
      <c r="Q79" s="104"/>
      <c r="R79" s="5"/>
      <c r="S79" s="5"/>
      <c r="T79" s="5"/>
    </row>
    <row r="80" spans="1:20" s="4" customFormat="1" ht="15" customHeight="1">
      <c r="A80" s="301"/>
      <c r="B80" s="356" t="s">
        <v>150</v>
      </c>
      <c r="C80" s="321"/>
      <c r="D80" s="14"/>
      <c r="E80" s="14"/>
      <c r="F80" s="322">
        <v>109.52</v>
      </c>
      <c r="G80" s="323"/>
      <c r="H80" s="322">
        <v>142.15</v>
      </c>
      <c r="I80" s="322"/>
      <c r="J80" s="324">
        <v>114.57</v>
      </c>
      <c r="K80" s="258"/>
      <c r="Q80" s="104"/>
      <c r="R80" s="5"/>
      <c r="S80" s="5"/>
      <c r="T80" s="5"/>
    </row>
    <row r="81" spans="1:20" s="4" customFormat="1" ht="1.5" customHeight="1">
      <c r="A81" s="301"/>
      <c r="B81" s="356"/>
      <c r="C81" s="321"/>
      <c r="D81" s="14"/>
      <c r="E81" s="14"/>
      <c r="F81" s="322"/>
      <c r="G81" s="323"/>
      <c r="H81" s="322"/>
      <c r="I81" s="322"/>
      <c r="J81" s="324"/>
      <c r="K81" s="258"/>
      <c r="Q81" s="104"/>
      <c r="R81" s="5"/>
      <c r="S81" s="5"/>
      <c r="T81" s="5"/>
    </row>
    <row r="82" spans="1:20" s="4" customFormat="1" ht="15" customHeight="1">
      <c r="A82" s="301"/>
      <c r="B82" s="356" t="s">
        <v>209</v>
      </c>
      <c r="C82" s="321"/>
      <c r="D82" s="14"/>
      <c r="E82" s="14"/>
      <c r="F82" s="319">
        <v>-0.29</v>
      </c>
      <c r="G82" s="323"/>
      <c r="H82" s="322">
        <v>3.65</v>
      </c>
      <c r="I82" s="322"/>
      <c r="J82" s="324">
        <v>0.08</v>
      </c>
      <c r="K82" s="258"/>
      <c r="Q82" s="104"/>
      <c r="R82" s="5"/>
      <c r="S82" s="5"/>
      <c r="T82" s="5"/>
    </row>
    <row r="83" spans="1:20" s="4" customFormat="1" ht="1.5" customHeight="1">
      <c r="A83" s="301"/>
      <c r="B83" s="356"/>
      <c r="C83" s="321"/>
      <c r="D83" s="14"/>
      <c r="E83" s="14"/>
      <c r="F83" s="322"/>
      <c r="G83" s="323"/>
      <c r="H83" s="322"/>
      <c r="I83" s="322"/>
      <c r="J83" s="324"/>
      <c r="K83" s="258"/>
      <c r="Q83" s="104"/>
      <c r="R83" s="5"/>
      <c r="S83" s="5"/>
      <c r="T83" s="5"/>
    </row>
    <row r="84" spans="1:20" s="4" customFormat="1" ht="15" customHeight="1">
      <c r="A84" s="301"/>
      <c r="B84" s="357" t="s">
        <v>101</v>
      </c>
      <c r="C84" s="327"/>
      <c r="D84" s="320"/>
      <c r="E84" s="320"/>
      <c r="F84" s="328">
        <v>2081.28</v>
      </c>
      <c r="G84" s="329"/>
      <c r="H84" s="328">
        <v>2154.67</v>
      </c>
      <c r="I84" s="328"/>
      <c r="J84" s="349">
        <f>SUM(J76:J82)</f>
        <v>1983.2399999999998</v>
      </c>
      <c r="K84" s="258"/>
      <c r="Q84" s="104"/>
      <c r="R84" s="5"/>
      <c r="S84" s="5"/>
      <c r="T84" s="5"/>
    </row>
    <row r="85" spans="1:20" s="4" customFormat="1" ht="1.5" customHeight="1">
      <c r="A85" s="301"/>
      <c r="B85" s="356"/>
      <c r="C85" s="321"/>
      <c r="D85" s="14"/>
      <c r="E85" s="14"/>
      <c r="F85" s="322"/>
      <c r="G85" s="323"/>
      <c r="H85" s="328"/>
      <c r="I85" s="328"/>
      <c r="J85" s="324"/>
      <c r="K85" s="258"/>
      <c r="Q85" s="104"/>
      <c r="R85" s="5"/>
      <c r="S85" s="5"/>
      <c r="T85" s="5"/>
    </row>
    <row r="86" spans="1:20" s="4" customFormat="1" ht="15" customHeight="1">
      <c r="A86" s="301"/>
      <c r="B86" s="356" t="s">
        <v>171</v>
      </c>
      <c r="C86" s="321"/>
      <c r="D86" s="14"/>
      <c r="E86" s="14"/>
      <c r="F86" s="322">
        <v>965.15</v>
      </c>
      <c r="G86" s="323"/>
      <c r="H86" s="322">
        <v>1015.83</v>
      </c>
      <c r="I86" s="322"/>
      <c r="J86" s="324">
        <v>982.78</v>
      </c>
      <c r="K86" s="258"/>
      <c r="Q86" s="104"/>
      <c r="R86" s="5"/>
      <c r="S86" s="5"/>
      <c r="T86" s="5"/>
    </row>
    <row r="87" spans="1:20" s="4" customFormat="1" ht="1.5" customHeight="1">
      <c r="A87" s="301"/>
      <c r="B87" s="356"/>
      <c r="C87" s="321"/>
      <c r="D87" s="14"/>
      <c r="E87" s="14"/>
      <c r="F87" s="322"/>
      <c r="G87" s="323"/>
      <c r="H87" s="322"/>
      <c r="I87" s="322"/>
      <c r="J87" s="324"/>
      <c r="K87" s="258"/>
      <c r="Q87" s="104"/>
      <c r="R87" s="5"/>
      <c r="S87" s="5"/>
      <c r="T87" s="5"/>
    </row>
    <row r="88" spans="1:20" s="4" customFormat="1" ht="15" customHeight="1">
      <c r="A88" s="301"/>
      <c r="B88" s="356" t="s">
        <v>147</v>
      </c>
      <c r="C88" s="321"/>
      <c r="D88" s="14"/>
      <c r="E88" s="14"/>
      <c r="F88" s="322">
        <f>881.93-25</f>
        <v>856.93</v>
      </c>
      <c r="G88" s="323"/>
      <c r="H88" s="322">
        <v>512.93</v>
      </c>
      <c r="I88" s="322"/>
      <c r="J88" s="324">
        <v>739.26</v>
      </c>
      <c r="K88" s="258"/>
      <c r="Q88" s="104"/>
      <c r="R88" s="5"/>
      <c r="S88" s="5"/>
      <c r="T88" s="5"/>
    </row>
    <row r="89" spans="1:20" s="4" customFormat="1" ht="1.5" customHeight="1">
      <c r="A89" s="301"/>
      <c r="B89" s="356"/>
      <c r="C89" s="321"/>
      <c r="D89" s="14"/>
      <c r="E89" s="14"/>
      <c r="F89" s="322"/>
      <c r="G89" s="323"/>
      <c r="H89" s="322"/>
      <c r="I89" s="322"/>
      <c r="J89" s="324"/>
      <c r="K89" s="258"/>
      <c r="Q89" s="104"/>
      <c r="R89" s="5"/>
      <c r="S89" s="5"/>
      <c r="T89" s="5"/>
    </row>
    <row r="90" spans="1:20" s="4" customFormat="1" ht="15" customHeight="1">
      <c r="A90" s="301"/>
      <c r="B90" s="357" t="s">
        <v>172</v>
      </c>
      <c r="C90" s="321"/>
      <c r="D90" s="14"/>
      <c r="E90" s="14"/>
      <c r="F90" s="322"/>
      <c r="G90" s="323"/>
      <c r="H90" s="322"/>
      <c r="I90" s="322"/>
      <c r="J90" s="324"/>
      <c r="K90" s="258"/>
      <c r="Q90" s="104"/>
      <c r="R90" s="5"/>
      <c r="S90" s="5"/>
      <c r="T90" s="5"/>
    </row>
    <row r="91" spans="1:20" s="4" customFormat="1" ht="15" customHeight="1">
      <c r="A91" s="301"/>
      <c r="B91" s="355" t="s">
        <v>145</v>
      </c>
      <c r="C91" s="321">
        <v>394.58</v>
      </c>
      <c r="D91" s="14"/>
      <c r="E91" s="14"/>
      <c r="F91" s="322"/>
      <c r="G91" s="323">
        <v>320.16</v>
      </c>
      <c r="H91" s="322"/>
      <c r="I91" s="322">
        <v>289.73</v>
      </c>
      <c r="J91" s="324"/>
      <c r="K91" s="258"/>
      <c r="Q91" s="104"/>
      <c r="R91" s="5"/>
      <c r="S91" s="5"/>
      <c r="T91" s="5"/>
    </row>
    <row r="92" spans="1:20" s="4" customFormat="1" ht="15" customHeight="1">
      <c r="A92" s="301"/>
      <c r="B92" s="355" t="s">
        <v>144</v>
      </c>
      <c r="C92" s="321">
        <v>272.11</v>
      </c>
      <c r="D92" s="14"/>
      <c r="E92" s="14"/>
      <c r="F92" s="322"/>
      <c r="G92" s="323">
        <v>212.3</v>
      </c>
      <c r="H92" s="322"/>
      <c r="I92" s="322">
        <v>220.31</v>
      </c>
      <c r="J92" s="324"/>
      <c r="K92" s="258"/>
      <c r="Q92" s="104"/>
      <c r="R92" s="5"/>
      <c r="S92" s="5"/>
      <c r="T92" s="5"/>
    </row>
    <row r="93" spans="1:20" s="4" customFormat="1" ht="15" customHeight="1">
      <c r="A93" s="301"/>
      <c r="B93" s="355" t="s">
        <v>173</v>
      </c>
      <c r="C93" s="321">
        <v>123.95</v>
      </c>
      <c r="D93" s="14"/>
      <c r="E93" s="14"/>
      <c r="F93" s="322"/>
      <c r="G93" s="323">
        <v>275.05</v>
      </c>
      <c r="H93" s="322"/>
      <c r="I93" s="322">
        <v>101.01</v>
      </c>
      <c r="J93" s="324"/>
      <c r="K93" s="258"/>
      <c r="Q93" s="104"/>
      <c r="R93" s="5"/>
      <c r="S93" s="5"/>
      <c r="T93" s="5"/>
    </row>
    <row r="94" spans="1:20" s="4" customFormat="1" ht="15" customHeight="1">
      <c r="A94" s="301"/>
      <c r="B94" s="355" t="s">
        <v>142</v>
      </c>
      <c r="C94" s="321">
        <v>1.09</v>
      </c>
      <c r="D94" s="14"/>
      <c r="E94" s="14"/>
      <c r="F94" s="322"/>
      <c r="G94" s="330" t="s">
        <v>105</v>
      </c>
      <c r="H94" s="322"/>
      <c r="I94" s="322">
        <v>2.17</v>
      </c>
      <c r="J94" s="324"/>
      <c r="K94" s="258"/>
      <c r="Q94" s="104"/>
      <c r="R94" s="5"/>
      <c r="S94" s="5"/>
      <c r="T94" s="5"/>
    </row>
    <row r="95" spans="1:20" s="4" customFormat="1" ht="15" customHeight="1">
      <c r="A95" s="301"/>
      <c r="B95" s="355" t="s">
        <v>141</v>
      </c>
      <c r="C95" s="321">
        <f>362.16+25</f>
        <v>387.16</v>
      </c>
      <c r="D95" s="14"/>
      <c r="E95" s="14"/>
      <c r="F95" s="322"/>
      <c r="G95" s="323">
        <v>408.62</v>
      </c>
      <c r="H95" s="322"/>
      <c r="I95" s="322">
        <v>351.97</v>
      </c>
      <c r="J95" s="324"/>
      <c r="K95" s="258"/>
      <c r="Q95" s="104"/>
      <c r="R95" s="5"/>
      <c r="S95" s="5"/>
      <c r="T95" s="5"/>
    </row>
    <row r="96" spans="1:20" s="4" customFormat="1" ht="15" customHeight="1">
      <c r="A96" s="301"/>
      <c r="B96" s="356" t="s">
        <v>174</v>
      </c>
      <c r="C96" s="321"/>
      <c r="D96" s="14"/>
      <c r="E96" s="14"/>
      <c r="F96" s="322"/>
      <c r="G96" s="323"/>
      <c r="H96" s="322"/>
      <c r="I96" s="322"/>
      <c r="J96" s="324"/>
      <c r="K96" s="258"/>
      <c r="Q96" s="104"/>
      <c r="R96" s="5"/>
      <c r="S96" s="5"/>
      <c r="T96" s="5"/>
    </row>
    <row r="97" spans="1:20" s="4" customFormat="1" ht="15" customHeight="1">
      <c r="A97" s="301"/>
      <c r="B97" s="355" t="s">
        <v>139</v>
      </c>
      <c r="C97" s="321">
        <v>876.88</v>
      </c>
      <c r="D97" s="14"/>
      <c r="E97" s="14"/>
      <c r="F97" s="322"/>
      <c r="G97" s="323">
        <v>600.92</v>
      </c>
      <c r="H97" s="322"/>
      <c r="I97" s="322">
        <v>667.21</v>
      </c>
      <c r="J97" s="324"/>
      <c r="K97" s="258"/>
      <c r="Q97" s="104"/>
      <c r="R97" s="5"/>
      <c r="S97" s="5"/>
      <c r="T97" s="5"/>
    </row>
    <row r="98" spans="1:20" s="4" customFormat="1" ht="15" customHeight="1">
      <c r="A98" s="301"/>
      <c r="B98" s="355" t="s">
        <v>138</v>
      </c>
      <c r="C98" s="325">
        <v>57.75</v>
      </c>
      <c r="D98" s="14"/>
      <c r="E98" s="14"/>
      <c r="F98" s="322">
        <f>219.26+25</f>
        <v>244.26</v>
      </c>
      <c r="G98" s="326">
        <v>46.24</v>
      </c>
      <c r="H98" s="322">
        <v>568.97</v>
      </c>
      <c r="I98" s="326">
        <v>66.87</v>
      </c>
      <c r="J98" s="324">
        <v>231.11</v>
      </c>
      <c r="K98" s="258"/>
      <c r="Q98" s="104"/>
      <c r="R98" s="5"/>
      <c r="S98" s="5"/>
      <c r="T98" s="5"/>
    </row>
    <row r="99" spans="1:20" s="4" customFormat="1" ht="15" customHeight="1">
      <c r="A99" s="301"/>
      <c r="B99" s="356"/>
      <c r="C99" s="321"/>
      <c r="D99" s="14"/>
      <c r="E99" s="14"/>
      <c r="F99" s="322"/>
      <c r="G99" s="323"/>
      <c r="H99" s="322"/>
      <c r="I99" s="322"/>
      <c r="J99" s="324"/>
      <c r="K99" s="258"/>
      <c r="Q99" s="104"/>
      <c r="R99" s="5"/>
      <c r="S99" s="5"/>
      <c r="T99" s="5"/>
    </row>
    <row r="100" spans="1:20" s="4" customFormat="1" ht="15" customHeight="1">
      <c r="A100" s="301"/>
      <c r="B100" s="356" t="s">
        <v>137</v>
      </c>
      <c r="C100" s="321"/>
      <c r="D100" s="14"/>
      <c r="E100" s="14"/>
      <c r="F100" s="322">
        <v>14.94</v>
      </c>
      <c r="G100" s="323"/>
      <c r="H100" s="322">
        <v>56.94</v>
      </c>
      <c r="I100" s="322"/>
      <c r="J100" s="324">
        <v>30.09</v>
      </c>
      <c r="K100" s="258"/>
      <c r="Q100" s="104"/>
      <c r="R100" s="5"/>
      <c r="S100" s="5"/>
      <c r="T100" s="5"/>
    </row>
    <row r="101" spans="1:20" s="4" customFormat="1" ht="1.5" customHeight="1">
      <c r="A101" s="301"/>
      <c r="B101" s="356"/>
      <c r="C101" s="241"/>
      <c r="D101" s="14"/>
      <c r="E101" s="14"/>
      <c r="F101" s="322"/>
      <c r="G101" s="322"/>
      <c r="H101" s="322"/>
      <c r="I101" s="322"/>
      <c r="J101" s="324"/>
      <c r="K101" s="258"/>
      <c r="Q101" s="104"/>
      <c r="R101" s="5"/>
      <c r="S101" s="5"/>
      <c r="T101" s="5"/>
    </row>
    <row r="102" spans="1:20" s="4" customFormat="1" ht="15" customHeight="1">
      <c r="A102" s="301"/>
      <c r="B102" s="358" t="s">
        <v>101</v>
      </c>
      <c r="C102" s="243"/>
      <c r="D102" s="242"/>
      <c r="E102" s="242"/>
      <c r="F102" s="331">
        <f>SUM(F86:F100)</f>
        <v>2081.28</v>
      </c>
      <c r="G102" s="331"/>
      <c r="H102" s="331">
        <f>SUM(H86:H100)</f>
        <v>2154.67</v>
      </c>
      <c r="I102" s="331"/>
      <c r="J102" s="350">
        <f>SUM(J86:J100)</f>
        <v>1983.24</v>
      </c>
      <c r="K102" s="258"/>
      <c r="Q102" s="104"/>
      <c r="R102" s="5"/>
      <c r="S102" s="5"/>
      <c r="T102" s="5"/>
    </row>
    <row r="103" spans="1:17" s="4" customFormat="1" ht="15" customHeight="1">
      <c r="A103" s="305" t="s">
        <v>199</v>
      </c>
      <c r="B103" s="105" t="s">
        <v>168</v>
      </c>
      <c r="D103" s="126"/>
      <c r="E103" s="126"/>
      <c r="F103" s="105"/>
      <c r="J103" s="304"/>
      <c r="K103" s="258"/>
      <c r="N103" s="104"/>
      <c r="O103" s="5"/>
      <c r="P103" s="5"/>
      <c r="Q103" s="5"/>
    </row>
    <row r="104" spans="1:17" s="4" customFormat="1" ht="15" customHeight="1">
      <c r="A104" s="305" t="s">
        <v>200</v>
      </c>
      <c r="B104" s="105" t="s">
        <v>177</v>
      </c>
      <c r="D104" s="126"/>
      <c r="E104" s="126"/>
      <c r="F104" s="105"/>
      <c r="J104" s="304"/>
      <c r="K104" s="258"/>
      <c r="Q104" s="5"/>
    </row>
    <row r="105" spans="1:17" s="4" customFormat="1" ht="15" customHeight="1" hidden="1">
      <c r="A105" s="305"/>
      <c r="B105" s="13"/>
      <c r="D105" s="14"/>
      <c r="E105" s="14"/>
      <c r="F105" s="105"/>
      <c r="J105" s="304"/>
      <c r="K105" s="258"/>
      <c r="Q105" s="5"/>
    </row>
    <row r="106" spans="1:17" s="4" customFormat="1" ht="15" customHeight="1">
      <c r="A106" s="305" t="s">
        <v>201</v>
      </c>
      <c r="B106" s="255" t="s">
        <v>97</v>
      </c>
      <c r="C106" s="256"/>
      <c r="D106" s="14"/>
      <c r="E106" s="14"/>
      <c r="F106" s="13"/>
      <c r="J106" s="306" t="s">
        <v>136</v>
      </c>
      <c r="K106" s="266"/>
      <c r="Q106" s="5"/>
    </row>
    <row r="107" spans="1:17" s="4" customFormat="1" ht="15" customHeight="1" hidden="1">
      <c r="A107" s="305"/>
      <c r="B107" s="13"/>
      <c r="D107" s="14"/>
      <c r="E107" s="14"/>
      <c r="F107" s="13"/>
      <c r="J107" s="306"/>
      <c r="K107" s="266"/>
      <c r="Q107" s="5"/>
    </row>
    <row r="108" spans="1:17" s="4" customFormat="1" ht="15" customHeight="1">
      <c r="A108" s="307"/>
      <c r="B108" s="435" t="s">
        <v>2</v>
      </c>
      <c r="C108" s="436"/>
      <c r="D108" s="240"/>
      <c r="E108" s="240"/>
      <c r="F108" s="457" t="s">
        <v>204</v>
      </c>
      <c r="G108" s="438"/>
      <c r="H108" s="446" t="s">
        <v>205</v>
      </c>
      <c r="I108" s="447"/>
      <c r="J108" s="300" t="s">
        <v>206</v>
      </c>
      <c r="K108" s="267"/>
      <c r="L108" s="107"/>
      <c r="Q108" s="5"/>
    </row>
    <row r="109" spans="1:17" s="4" customFormat="1" ht="15" customHeight="1" hidden="1">
      <c r="A109" s="307"/>
      <c r="B109" s="435"/>
      <c r="C109" s="436"/>
      <c r="D109" s="14"/>
      <c r="E109" s="14"/>
      <c r="F109" s="241"/>
      <c r="G109" s="245"/>
      <c r="H109" s="449"/>
      <c r="I109" s="450"/>
      <c r="J109" s="308" t="s">
        <v>169</v>
      </c>
      <c r="K109" s="267"/>
      <c r="L109" s="107"/>
      <c r="Q109" s="5"/>
    </row>
    <row r="110" spans="1:17" s="4" customFormat="1" ht="15" customHeight="1" hidden="1">
      <c r="A110" s="307"/>
      <c r="B110" s="435"/>
      <c r="C110" s="436"/>
      <c r="D110" s="14"/>
      <c r="E110" s="14"/>
      <c r="F110" s="241"/>
      <c r="G110" s="245"/>
      <c r="H110" s="247"/>
      <c r="I110" s="245"/>
      <c r="J110" s="308"/>
      <c r="K110" s="267"/>
      <c r="L110" s="107"/>
      <c r="Q110" s="5"/>
    </row>
    <row r="111" spans="1:17" s="4" customFormat="1" ht="15" customHeight="1">
      <c r="A111" s="307"/>
      <c r="B111" s="439"/>
      <c r="C111" s="440"/>
      <c r="D111" s="242"/>
      <c r="E111" s="242"/>
      <c r="F111" s="243" t="s">
        <v>131</v>
      </c>
      <c r="G111" s="244" t="s">
        <v>132</v>
      </c>
      <c r="H111" s="248" t="s">
        <v>131</v>
      </c>
      <c r="I111" s="244" t="s">
        <v>132</v>
      </c>
      <c r="J111" s="309" t="s">
        <v>75</v>
      </c>
      <c r="K111" s="267"/>
      <c r="L111" s="107"/>
      <c r="Q111" s="5"/>
    </row>
    <row r="112" spans="1:17" s="4" customFormat="1" ht="15" customHeight="1">
      <c r="A112" s="305"/>
      <c r="B112" s="433" t="s">
        <v>99</v>
      </c>
      <c r="C112" s="434"/>
      <c r="D112" s="206">
        <f>648.77/100</f>
        <v>6.4877</v>
      </c>
      <c r="E112" s="206">
        <f>543.66/100</f>
        <v>5.436599999999999</v>
      </c>
      <c r="F112" s="238">
        <f>H112-D112</f>
        <v>7.862299999999999</v>
      </c>
      <c r="G112" s="239">
        <f>I112-E112</f>
        <v>6.164900000000002</v>
      </c>
      <c r="H112" s="239">
        <v>14.35</v>
      </c>
      <c r="I112" s="239">
        <f>1160.15/100</f>
        <v>11.601500000000001</v>
      </c>
      <c r="J112" s="310">
        <f>2335.04/100</f>
        <v>23.3504</v>
      </c>
      <c r="K112" s="266"/>
      <c r="Q112" s="5"/>
    </row>
    <row r="113" spans="1:17" s="4" customFormat="1" ht="15" customHeight="1">
      <c r="A113" s="305"/>
      <c r="B113" s="443" t="s">
        <v>100</v>
      </c>
      <c r="C113" s="444"/>
      <c r="D113" s="203">
        <f>743/100</f>
        <v>7.43</v>
      </c>
      <c r="E113" s="207">
        <f>957.3/100</f>
        <v>9.573</v>
      </c>
      <c r="F113" s="133">
        <f>H113-D113</f>
        <v>7.450000000000001</v>
      </c>
      <c r="G113" s="3">
        <f>I113-E113+0.01</f>
        <v>9.583</v>
      </c>
      <c r="H113" s="3">
        <v>14.88</v>
      </c>
      <c r="I113" s="3">
        <f>1914.6/100</f>
        <v>19.146</v>
      </c>
      <c r="J113" s="311">
        <f>3840/100</f>
        <v>38.4</v>
      </c>
      <c r="K113" s="266"/>
      <c r="Q113" s="5"/>
    </row>
    <row r="114" spans="1:17" s="4" customFormat="1" ht="15" customHeight="1">
      <c r="A114" s="305"/>
      <c r="B114" s="441" t="s">
        <v>101</v>
      </c>
      <c r="C114" s="442"/>
      <c r="D114" s="210">
        <f aca="true" t="shared" si="7" ref="D114:J114">SUM(D112:D113)</f>
        <v>13.9177</v>
      </c>
      <c r="E114" s="136">
        <f t="shared" si="7"/>
        <v>15.009599999999999</v>
      </c>
      <c r="F114" s="136">
        <f t="shared" si="7"/>
        <v>15.3123</v>
      </c>
      <c r="G114" s="136">
        <f>SUM(G112:G113)-0.01</f>
        <v>15.737900000000002</v>
      </c>
      <c r="H114" s="136">
        <f t="shared" si="7"/>
        <v>29.23</v>
      </c>
      <c r="I114" s="136">
        <f t="shared" si="7"/>
        <v>30.747500000000002</v>
      </c>
      <c r="J114" s="312">
        <f t="shared" si="7"/>
        <v>61.7504</v>
      </c>
      <c r="K114" s="266"/>
      <c r="Q114" s="5"/>
    </row>
    <row r="115" spans="1:17" s="4" customFormat="1" ht="15" customHeight="1">
      <c r="A115" s="305" t="s">
        <v>194</v>
      </c>
      <c r="B115" s="13" t="s">
        <v>183</v>
      </c>
      <c r="D115" s="14"/>
      <c r="E115" s="14"/>
      <c r="F115" s="13"/>
      <c r="J115" s="304"/>
      <c r="K115" s="267"/>
      <c r="Q115" s="5"/>
    </row>
    <row r="116" spans="1:17" s="4" customFormat="1" ht="15" customHeight="1">
      <c r="A116" s="280"/>
      <c r="B116" s="13" t="s">
        <v>184</v>
      </c>
      <c r="D116" s="14"/>
      <c r="E116" s="14"/>
      <c r="F116" s="13"/>
      <c r="J116" s="304"/>
      <c r="K116" s="258"/>
      <c r="Q116" s="5"/>
    </row>
    <row r="117" spans="1:17" s="4" customFormat="1" ht="15" customHeight="1">
      <c r="A117" s="280"/>
      <c r="B117" s="13" t="s">
        <v>185</v>
      </c>
      <c r="D117" s="14"/>
      <c r="E117" s="14"/>
      <c r="F117" s="13"/>
      <c r="G117" s="106"/>
      <c r="H117" s="106"/>
      <c r="I117" s="106"/>
      <c r="J117" s="303"/>
      <c r="K117" s="258"/>
      <c r="Q117" s="5"/>
    </row>
    <row r="118" spans="1:17" s="4" customFormat="1" ht="15" customHeight="1">
      <c r="A118" s="305" t="s">
        <v>195</v>
      </c>
      <c r="B118" s="13" t="s">
        <v>193</v>
      </c>
      <c r="D118" s="147"/>
      <c r="E118" s="147"/>
      <c r="F118" s="146"/>
      <c r="G118" s="148"/>
      <c r="H118" s="148"/>
      <c r="I118" s="148"/>
      <c r="J118" s="313"/>
      <c r="K118" s="258"/>
      <c r="M118" s="107"/>
      <c r="N118" s="104"/>
      <c r="O118" s="5"/>
      <c r="P118" s="5"/>
      <c r="Q118" s="5"/>
    </row>
    <row r="119" spans="1:17" s="4" customFormat="1" ht="15" customHeight="1">
      <c r="A119" s="305"/>
      <c r="B119" s="13" t="s">
        <v>192</v>
      </c>
      <c r="D119" s="147"/>
      <c r="E119" s="147"/>
      <c r="F119" s="146"/>
      <c r="G119" s="148"/>
      <c r="H119" s="148"/>
      <c r="I119" s="148"/>
      <c r="J119" s="313"/>
      <c r="K119" s="258"/>
      <c r="M119" s="107"/>
      <c r="N119" s="104"/>
      <c r="O119" s="5"/>
      <c r="P119" s="5"/>
      <c r="Q119" s="5"/>
    </row>
    <row r="120" spans="1:17" s="4" customFormat="1" ht="15" customHeight="1">
      <c r="A120" s="305"/>
      <c r="B120" s="13" t="s">
        <v>215</v>
      </c>
      <c r="D120" s="147"/>
      <c r="E120" s="147"/>
      <c r="F120" s="146"/>
      <c r="G120" s="148"/>
      <c r="H120" s="148"/>
      <c r="I120" s="148"/>
      <c r="J120" s="313"/>
      <c r="K120" s="258"/>
      <c r="M120" s="107"/>
      <c r="N120" s="104"/>
      <c r="O120" s="5"/>
      <c r="P120" s="5"/>
      <c r="Q120" s="5"/>
    </row>
    <row r="121" spans="1:17" s="4" customFormat="1" ht="15" customHeight="1">
      <c r="A121" s="305" t="s">
        <v>196</v>
      </c>
      <c r="B121" s="13" t="s">
        <v>189</v>
      </c>
      <c r="D121" s="147"/>
      <c r="E121" s="147"/>
      <c r="F121" s="146"/>
      <c r="G121" s="148"/>
      <c r="H121" s="148"/>
      <c r="I121" s="148"/>
      <c r="J121" s="313"/>
      <c r="K121" s="258"/>
      <c r="N121" s="104"/>
      <c r="O121" s="5"/>
      <c r="P121" s="5"/>
      <c r="Q121" s="5"/>
    </row>
    <row r="122" spans="1:17" s="4" customFormat="1" ht="15" customHeight="1">
      <c r="A122" s="305"/>
      <c r="B122" s="13" t="s">
        <v>190</v>
      </c>
      <c r="D122" s="147"/>
      <c r="E122" s="147"/>
      <c r="F122" s="146"/>
      <c r="G122" s="148"/>
      <c r="H122" s="148"/>
      <c r="I122" s="148"/>
      <c r="J122" s="313"/>
      <c r="K122" s="258"/>
      <c r="N122" s="104"/>
      <c r="O122" s="5"/>
      <c r="P122" s="5"/>
      <c r="Q122" s="5"/>
    </row>
    <row r="123" spans="1:17" s="4" customFormat="1" ht="15" customHeight="1">
      <c r="A123" s="305"/>
      <c r="B123" s="13" t="s">
        <v>191</v>
      </c>
      <c r="D123" s="147"/>
      <c r="E123" s="147"/>
      <c r="F123" s="146"/>
      <c r="G123" s="148"/>
      <c r="H123" s="148"/>
      <c r="I123" s="148"/>
      <c r="J123" s="313"/>
      <c r="K123" s="258"/>
      <c r="N123" s="104"/>
      <c r="O123" s="5"/>
      <c r="P123" s="5"/>
      <c r="Q123" s="5"/>
    </row>
    <row r="124" spans="1:17" s="4" customFormat="1" ht="15" customHeight="1">
      <c r="A124" s="305" t="s">
        <v>197</v>
      </c>
      <c r="B124" s="13" t="s">
        <v>108</v>
      </c>
      <c r="D124" s="14"/>
      <c r="E124" s="14"/>
      <c r="F124" s="105"/>
      <c r="J124" s="304"/>
      <c r="K124" s="267"/>
      <c r="N124" s="104"/>
      <c r="O124" s="5"/>
      <c r="P124" s="5"/>
      <c r="Q124" s="5"/>
    </row>
    <row r="125" spans="1:17" s="4" customFormat="1" ht="15" customHeight="1">
      <c r="A125" s="305" t="s">
        <v>202</v>
      </c>
      <c r="B125" s="13" t="s">
        <v>186</v>
      </c>
      <c r="D125" s="14"/>
      <c r="E125" s="14"/>
      <c r="F125" s="105"/>
      <c r="J125" s="304"/>
      <c r="K125" s="267"/>
      <c r="N125" s="104"/>
      <c r="O125" s="5"/>
      <c r="P125" s="5"/>
      <c r="Q125" s="5"/>
    </row>
    <row r="126" spans="1:17" s="4" customFormat="1" ht="15" customHeight="1">
      <c r="A126" s="305"/>
      <c r="B126" s="13" t="s">
        <v>187</v>
      </c>
      <c r="D126" s="14"/>
      <c r="E126" s="14"/>
      <c r="F126" s="105"/>
      <c r="J126" s="304"/>
      <c r="K126" s="267"/>
      <c r="N126" s="104"/>
      <c r="O126" s="5"/>
      <c r="P126" s="5"/>
      <c r="Q126" s="5"/>
    </row>
    <row r="127" spans="1:17" s="4" customFormat="1" ht="3.75" customHeight="1">
      <c r="A127" s="305"/>
      <c r="B127" s="13"/>
      <c r="D127" s="14"/>
      <c r="E127" s="14"/>
      <c r="F127" s="105"/>
      <c r="J127" s="304"/>
      <c r="K127" s="267"/>
      <c r="N127" s="104"/>
      <c r="O127" s="5"/>
      <c r="P127" s="5"/>
      <c r="Q127" s="5"/>
    </row>
    <row r="128" spans="1:17" s="4" customFormat="1" ht="3.75" customHeight="1">
      <c r="A128" s="305"/>
      <c r="B128" s="13"/>
      <c r="D128" s="14"/>
      <c r="E128" s="14"/>
      <c r="F128" s="105"/>
      <c r="J128" s="304"/>
      <c r="K128" s="267"/>
      <c r="N128" s="104"/>
      <c r="O128" s="5"/>
      <c r="P128" s="5"/>
      <c r="Q128" s="5"/>
    </row>
    <row r="129" spans="1:17" s="4" customFormat="1" ht="15" customHeight="1">
      <c r="A129" s="314"/>
      <c r="B129" s="253"/>
      <c r="C129" s="13"/>
      <c r="D129" s="14"/>
      <c r="E129" s="14"/>
      <c r="F129" s="389" t="s">
        <v>208</v>
      </c>
      <c r="G129" s="389"/>
      <c r="H129" s="389"/>
      <c r="I129" s="389"/>
      <c r="J129" s="411"/>
      <c r="K129" s="266"/>
      <c r="L129" s="106"/>
      <c r="M129" s="106"/>
      <c r="N129" s="104"/>
      <c r="O129" s="5"/>
      <c r="P129" s="5"/>
      <c r="Q129" s="5"/>
    </row>
    <row r="130" spans="1:17" s="4" customFormat="1" ht="15" customHeight="1" hidden="1">
      <c r="A130" s="305"/>
      <c r="B130" s="252"/>
      <c r="C130" s="117"/>
      <c r="D130" s="14"/>
      <c r="E130" s="14"/>
      <c r="F130" s="389"/>
      <c r="G130" s="389"/>
      <c r="H130" s="389"/>
      <c r="I130" s="389"/>
      <c r="J130" s="411"/>
      <c r="K130" s="266"/>
      <c r="L130" s="106"/>
      <c r="M130" s="106"/>
      <c r="N130" s="104"/>
      <c r="O130" s="5"/>
      <c r="P130" s="5"/>
      <c r="Q130" s="5"/>
    </row>
    <row r="131" spans="1:17" s="4" customFormat="1" ht="18" customHeight="1" hidden="1">
      <c r="A131" s="315"/>
      <c r="B131" s="104"/>
      <c r="C131" s="13"/>
      <c r="D131" s="143"/>
      <c r="E131" s="143"/>
      <c r="F131" s="13"/>
      <c r="J131" s="302"/>
      <c r="K131" s="258"/>
      <c r="M131" s="104"/>
      <c r="N131" s="104"/>
      <c r="O131" s="5"/>
      <c r="P131" s="5"/>
      <c r="Q131" s="5"/>
    </row>
    <row r="132" spans="1:17" ht="15" customHeight="1">
      <c r="A132" s="314" t="s">
        <v>161</v>
      </c>
      <c r="B132" s="4"/>
      <c r="C132" s="104"/>
      <c r="D132" s="143"/>
      <c r="E132" s="143"/>
      <c r="F132" s="13"/>
      <c r="G132" s="378" t="s">
        <v>214</v>
      </c>
      <c r="H132" s="378"/>
      <c r="I132" s="378"/>
      <c r="J132" s="415"/>
      <c r="K132" s="258"/>
      <c r="M132" s="5"/>
      <c r="Q132" s="5"/>
    </row>
    <row r="133" spans="1:17" ht="15" customHeight="1" thickBot="1">
      <c r="A133" s="351" t="s">
        <v>207</v>
      </c>
      <c r="B133" s="316"/>
      <c r="C133" s="317"/>
      <c r="D133" s="318"/>
      <c r="E133" s="318"/>
      <c r="F133" s="412" t="s">
        <v>83</v>
      </c>
      <c r="G133" s="413"/>
      <c r="H133" s="413"/>
      <c r="I133" s="413"/>
      <c r="J133" s="414"/>
      <c r="K133" s="258"/>
      <c r="M133" s="5"/>
      <c r="Q133" s="5"/>
    </row>
    <row r="134" spans="1:20" s="4" customFormat="1" ht="18" customHeight="1" thickBot="1">
      <c r="A134" s="268"/>
      <c r="B134" s="252"/>
      <c r="C134" s="13"/>
      <c r="D134" s="14"/>
      <c r="E134" s="14"/>
      <c r="F134" s="13"/>
      <c r="G134" s="106"/>
      <c r="H134" s="106"/>
      <c r="I134" s="106"/>
      <c r="J134" s="106"/>
      <c r="K134" s="180"/>
      <c r="L134" s="106"/>
      <c r="M134" s="106"/>
      <c r="N134" s="106"/>
      <c r="O134" s="106"/>
      <c r="P134" s="106"/>
      <c r="Q134" s="104"/>
      <c r="R134" s="5"/>
      <c r="S134" s="5"/>
      <c r="T134" s="5"/>
    </row>
    <row r="135" spans="1:20" s="4" customFormat="1" ht="18" customHeight="1">
      <c r="A135" s="177"/>
      <c r="B135" s="254"/>
      <c r="C135" s="178"/>
      <c r="D135" s="144"/>
      <c r="E135" s="144"/>
      <c r="F135" s="178"/>
      <c r="G135" s="178"/>
      <c r="H135" s="178"/>
      <c r="I135" s="178"/>
      <c r="J135" s="124"/>
      <c r="K135" s="99"/>
      <c r="L135" s="124"/>
      <c r="M135" s="124"/>
      <c r="N135" s="124"/>
      <c r="O135" s="109"/>
      <c r="P135" s="108"/>
      <c r="Q135" s="104"/>
      <c r="R135" s="5"/>
      <c r="S135" s="5"/>
      <c r="T135" s="5"/>
    </row>
  </sheetData>
  <sheetProtection/>
  <mergeCells count="78">
    <mergeCell ref="I72:J72"/>
    <mergeCell ref="I73:J73"/>
    <mergeCell ref="H109:I109"/>
    <mergeCell ref="B111:C111"/>
    <mergeCell ref="F108:G108"/>
    <mergeCell ref="B109:C109"/>
    <mergeCell ref="B110:C110"/>
    <mergeCell ref="B65:C65"/>
    <mergeCell ref="G72:H72"/>
    <mergeCell ref="G73:H73"/>
    <mergeCell ref="B114:C114"/>
    <mergeCell ref="B113:C113"/>
    <mergeCell ref="C72:F72"/>
    <mergeCell ref="C73:F73"/>
    <mergeCell ref="B68:C68"/>
    <mergeCell ref="B71:I71"/>
    <mergeCell ref="H108:I108"/>
    <mergeCell ref="B66:C66"/>
    <mergeCell ref="B112:C112"/>
    <mergeCell ref="B108:C108"/>
    <mergeCell ref="B57:C57"/>
    <mergeCell ref="B58:C58"/>
    <mergeCell ref="B59:C59"/>
    <mergeCell ref="B60:C60"/>
    <mergeCell ref="B62:C62"/>
    <mergeCell ref="B63:C63"/>
    <mergeCell ref="B64:C64"/>
    <mergeCell ref="B53:C53"/>
    <mergeCell ref="B54:C54"/>
    <mergeCell ref="B55:C55"/>
    <mergeCell ref="B56:C56"/>
    <mergeCell ref="B48:C48"/>
    <mergeCell ref="B49:C49"/>
    <mergeCell ref="B51:C51"/>
    <mergeCell ref="B52:C52"/>
    <mergeCell ref="B43:C43"/>
    <mergeCell ref="B44:C44"/>
    <mergeCell ref="B45:C45"/>
    <mergeCell ref="B46:C46"/>
    <mergeCell ref="B36:C36"/>
    <mergeCell ref="B29:C29"/>
    <mergeCell ref="B30:C30"/>
    <mergeCell ref="B31:C31"/>
    <mergeCell ref="B33:C33"/>
    <mergeCell ref="B27:C27"/>
    <mergeCell ref="B28:C28"/>
    <mergeCell ref="B34:C34"/>
    <mergeCell ref="B20:C20"/>
    <mergeCell ref="B24:C24"/>
    <mergeCell ref="B26:C26"/>
    <mergeCell ref="A1:J1"/>
    <mergeCell ref="H6:H7"/>
    <mergeCell ref="I6:I7"/>
    <mergeCell ref="F10:I10"/>
    <mergeCell ref="G6:G7"/>
    <mergeCell ref="A2:J2"/>
    <mergeCell ref="J6:J7"/>
    <mergeCell ref="A4:J4"/>
    <mergeCell ref="A6:C9"/>
    <mergeCell ref="F6:F7"/>
    <mergeCell ref="B12:C12"/>
    <mergeCell ref="B13:C13"/>
    <mergeCell ref="B14:C14"/>
    <mergeCell ref="B23:C23"/>
    <mergeCell ref="B21:C21"/>
    <mergeCell ref="B22:C22"/>
    <mergeCell ref="B15:C15"/>
    <mergeCell ref="B16:C16"/>
    <mergeCell ref="B18:C18"/>
    <mergeCell ref="B19:C19"/>
    <mergeCell ref="F130:J130"/>
    <mergeCell ref="F133:J133"/>
    <mergeCell ref="F129:J129"/>
    <mergeCell ref="G132:J132"/>
    <mergeCell ref="B37:C37"/>
    <mergeCell ref="B39:C39"/>
    <mergeCell ref="B40:C40"/>
    <mergeCell ref="B41:C41"/>
  </mergeCells>
  <printOptions horizontalCentered="1" verticalCentered="1"/>
  <pageMargins left="0" right="0" top="0.25" bottom="0" header="0.236220472440945" footer="0.196850393700787"/>
  <pageSetup fitToHeight="1" fitToWidth="1" horizontalDpi="600" verticalDpi="600" orientation="portrait" paperSize="8"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suja.nair</dc:creator>
  <cp:keywords/>
  <dc:description/>
  <cp:lastModifiedBy>Raji</cp:lastModifiedBy>
  <cp:lastPrinted>2010-10-21T06:04:11Z</cp:lastPrinted>
  <dcterms:created xsi:type="dcterms:W3CDTF">2009-06-26T06:51:55Z</dcterms:created>
  <dcterms:modified xsi:type="dcterms:W3CDTF">2010-10-21T06:17:08Z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